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brafile\Data\Everyone\TimD\My Documents\PLAN-JPROX\Modeling\FinalOutputs\"/>
    </mc:Choice>
  </mc:AlternateContent>
  <workbookProtection workbookAlgorithmName="SHA-512" workbookHashValue="JwOxd8lb3fiLf5uG2edJxvuztYSA+Dxt3/f418tustk9FtTLNI+DFca2yhFwvnnfOV7D1UMxrC5+PvM3fsRo5g==" workbookSaltValue="GMh6rWL4yCv3/SMe9hABUQ==" workbookSpinCount="100000" lockStructure="1"/>
  <bookViews>
    <workbookView xWindow="0" yWindow="0" windowWidth="28800" windowHeight="12435"/>
  </bookViews>
  <sheets>
    <sheet name="Assumptions" sheetId="26" r:id="rId1"/>
    <sheet name="ModelParcel" sheetId="55" r:id="rId2"/>
    <sheet name="Blended Bonus 26" sheetId="9" state="hidden" r:id="rId3"/>
    <sheet name="Blended Bonus 27" sheetId="6" state="hidden" r:id="rId4"/>
    <sheet name="Blended Bonus 28" sheetId="7" state="hidden" r:id="rId5"/>
    <sheet name="Blended Bonus 29" sheetId="8" state="hidden" r:id="rId6"/>
  </sheets>
  <definedNames>
    <definedName name="_xlnm._FilterDatabase" localSheetId="2" hidden="1">'Blended Bonus 26'!$A$1:$H$416</definedName>
    <definedName name="_xlnm._FilterDatabase" localSheetId="3" hidden="1">'Blended Bonus 27'!$A$1:$H$416</definedName>
    <definedName name="_xlnm._FilterDatabase" localSheetId="4" hidden="1">'Blended Bonus 28'!$A$1:$H$416</definedName>
    <definedName name="_xlnm._FilterDatabase" localSheetId="5" hidden="1">'Blended Bonus 29'!$A$1:$H$416</definedName>
    <definedName name="_xlnm.Print_Area" localSheetId="0">Assumptions!$A$1:$C$45</definedName>
    <definedName name="_xlnm.Print_Area" localSheetId="2">'Blended Bonus 26'!$A$78:$H$144</definedName>
    <definedName name="_xlnm.Print_Area" localSheetId="3">'Blended Bonus 27'!$A$78:$H$144</definedName>
    <definedName name="_xlnm.Print_Area" localSheetId="4">'Blended Bonus 28'!$A$78:$H$144</definedName>
    <definedName name="_xlnm.Print_Area" localSheetId="5">'Blended Bonus 29'!$A$78:$H$144</definedName>
    <definedName name="_xlnm.Print_Area" localSheetId="1">ModelParcel!#REF!</definedName>
  </definedNames>
  <calcPr calcId="152511"/>
</workbook>
</file>

<file path=xl/calcChain.xml><?xml version="1.0" encoding="utf-8"?>
<calcChain xmlns="http://schemas.openxmlformats.org/spreadsheetml/2006/main">
  <c r="K10" i="55" l="1"/>
  <c r="H6" i="55"/>
  <c r="E10" i="55" l="1"/>
  <c r="B18" i="26" l="1"/>
  <c r="B19" i="26" l="1"/>
  <c r="F41" i="55" l="1"/>
  <c r="F62" i="55" l="1"/>
  <c r="F61" i="55"/>
  <c r="F60" i="55"/>
  <c r="H60" i="55" s="1"/>
  <c r="F59" i="55"/>
  <c r="F57" i="55"/>
  <c r="H57" i="55" s="1"/>
  <c r="F51" i="55"/>
  <c r="F44" i="55"/>
  <c r="D43" i="55"/>
  <c r="D42" i="55"/>
  <c r="C35" i="55"/>
  <c r="H34" i="55"/>
  <c r="C34" i="55"/>
  <c r="G33" i="55"/>
  <c r="G32" i="55"/>
  <c r="C32" i="55"/>
  <c r="E30" i="55"/>
  <c r="G27" i="55"/>
  <c r="H26" i="55"/>
  <c r="H35" i="55" s="1"/>
  <c r="F26" i="55"/>
  <c r="H25" i="55"/>
  <c r="F18" i="55"/>
  <c r="C24" i="55"/>
  <c r="E9" i="55"/>
  <c r="C23" i="55" s="1"/>
  <c r="H8" i="55"/>
  <c r="B4" i="55"/>
  <c r="E29" i="55" l="1"/>
  <c r="H59" i="55" s="1"/>
  <c r="L8" i="55"/>
  <c r="H62" i="55" l="1"/>
  <c r="F15" i="26" l="1"/>
  <c r="B12" i="26" s="1"/>
  <c r="E22" i="55" l="1"/>
  <c r="E23" i="55"/>
  <c r="E24" i="55"/>
  <c r="B11" i="26"/>
  <c r="G7" i="55" s="1"/>
  <c r="F4" i="26"/>
  <c r="F5" i="26"/>
  <c r="F6" i="26"/>
  <c r="F7" i="26"/>
  <c r="G23" i="55" s="1"/>
  <c r="F8" i="26"/>
  <c r="F9" i="26"/>
  <c r="F10" i="26"/>
  <c r="F11" i="26"/>
  <c r="F12" i="26"/>
  <c r="F13" i="26"/>
  <c r="B17" i="26" s="1"/>
  <c r="F3" i="26"/>
  <c r="M13" i="26"/>
  <c r="N13" i="26" s="1"/>
  <c r="G22" i="55" l="1"/>
  <c r="F22" i="55" s="1"/>
  <c r="F23" i="55"/>
  <c r="G24" i="55"/>
  <c r="F24" i="55" s="1"/>
  <c r="K9" i="55"/>
  <c r="H7" i="55"/>
  <c r="L9" i="55"/>
  <c r="L11" i="55" s="1"/>
  <c r="L12" i="55" s="1"/>
  <c r="H10" i="55" s="1"/>
  <c r="M4" i="26"/>
  <c r="N4" i="26" s="1"/>
  <c r="M5" i="26"/>
  <c r="N5" i="26" s="1"/>
  <c r="M6" i="26"/>
  <c r="N6" i="26" s="1"/>
  <c r="M7" i="26"/>
  <c r="N7" i="26" s="1"/>
  <c r="M8" i="26"/>
  <c r="N8" i="26" s="1"/>
  <c r="M9" i="26"/>
  <c r="N9" i="26" s="1"/>
  <c r="M10" i="26"/>
  <c r="N10" i="26" s="1"/>
  <c r="M11" i="26"/>
  <c r="N11" i="26" s="1"/>
  <c r="M12" i="26"/>
  <c r="N12" i="26" s="1"/>
  <c r="M3" i="26"/>
  <c r="N3" i="26" s="1"/>
  <c r="L13" i="55" l="1"/>
  <c r="D27" i="55"/>
  <c r="D28" i="55"/>
  <c r="K12" i="55"/>
  <c r="K14" i="55"/>
  <c r="H9" i="55" l="1"/>
  <c r="K13" i="55"/>
  <c r="K15" i="55"/>
  <c r="K16" i="55" s="1"/>
  <c r="H41" i="55"/>
  <c r="D57" i="55"/>
  <c r="H44" i="55"/>
  <c r="D61" i="55"/>
  <c r="H61" i="55"/>
  <c r="H27" i="55"/>
  <c r="K17" i="55" l="1"/>
  <c r="D23" i="55" l="1"/>
  <c r="H23" i="55" s="1"/>
  <c r="H11" i="55"/>
  <c r="F58" i="55" s="1"/>
  <c r="H58" i="55" s="1"/>
  <c r="D22" i="55"/>
  <c r="D24" i="55"/>
  <c r="H24" i="55" s="1"/>
  <c r="H63" i="55" l="1"/>
  <c r="E28" i="55"/>
  <c r="H22" i="55"/>
  <c r="H13" i="55"/>
  <c r="H12" i="55"/>
  <c r="H33" i="55"/>
  <c r="H64" i="55" l="1"/>
  <c r="H65" i="55"/>
  <c r="H43" i="55"/>
  <c r="F43" i="55" s="1"/>
  <c r="H42" i="55"/>
  <c r="H32" i="55"/>
  <c r="H36" i="55" s="1"/>
  <c r="H28" i="55"/>
  <c r="F42" i="55" l="1"/>
  <c r="H46" i="55"/>
  <c r="H38" i="55"/>
  <c r="F46" i="55" l="1"/>
  <c r="D46" i="55"/>
  <c r="H48" i="55"/>
  <c r="H51" i="55" l="1"/>
  <c r="F48" i="55"/>
  <c r="D48" i="55"/>
  <c r="F67" i="55"/>
  <c r="H18" i="55" s="1"/>
  <c r="K21" i="55" l="1"/>
  <c r="K22" i="55"/>
  <c r="K24" i="55"/>
  <c r="K25" i="55"/>
  <c r="K23" i="55"/>
  <c r="H67" i="55"/>
  <c r="H52" i="55"/>
  <c r="H53" i="55"/>
  <c r="C783" i="9" l="1"/>
  <c r="C776" i="9"/>
  <c r="C715" i="9"/>
  <c r="C710" i="9"/>
  <c r="C709" i="9"/>
  <c r="C708" i="9"/>
  <c r="C647" i="9"/>
  <c r="C645" i="9"/>
  <c r="C642" i="9"/>
  <c r="C641" i="9"/>
  <c r="C640" i="9"/>
  <c r="C579" i="9"/>
  <c r="C574" i="9"/>
  <c r="C573" i="9"/>
  <c r="C572" i="9"/>
  <c r="C510" i="9"/>
  <c r="C509" i="9"/>
  <c r="C508" i="9"/>
  <c r="C505" i="9"/>
  <c r="C504" i="9"/>
  <c r="C503" i="9"/>
  <c r="C440" i="9"/>
  <c r="C439" i="9"/>
  <c r="C435" i="9"/>
  <c r="C434" i="9"/>
  <c r="C433" i="9"/>
  <c r="H426" i="9"/>
  <c r="F407" i="9"/>
  <c r="F406" i="9"/>
  <c r="H406" i="9" s="1"/>
  <c r="C798" i="9" s="1"/>
  <c r="C382" i="9"/>
  <c r="C381" i="9"/>
  <c r="C380" i="9"/>
  <c r="C379" i="9"/>
  <c r="E377" i="9"/>
  <c r="H408" i="9" s="1"/>
  <c r="H373" i="9"/>
  <c r="H382" i="9" s="1"/>
  <c r="F373" i="9"/>
  <c r="H372" i="9"/>
  <c r="M361" i="9"/>
  <c r="I353" i="9"/>
  <c r="F339" i="9"/>
  <c r="F338" i="9"/>
  <c r="H338" i="9" s="1"/>
  <c r="C730" i="9" s="1"/>
  <c r="H337" i="9"/>
  <c r="C728" i="9" s="1"/>
  <c r="C314" i="9"/>
  <c r="C313" i="9"/>
  <c r="C312" i="9"/>
  <c r="C311" i="9"/>
  <c r="E309" i="9"/>
  <c r="H340" i="9" s="1"/>
  <c r="E308" i="9"/>
  <c r="H339" i="9" s="1"/>
  <c r="H305" i="9"/>
  <c r="H314" i="9" s="1"/>
  <c r="F305" i="9"/>
  <c r="H304" i="9"/>
  <c r="I285" i="9"/>
  <c r="H284" i="9"/>
  <c r="H272" i="9"/>
  <c r="F271" i="9"/>
  <c r="F270" i="9"/>
  <c r="H270" i="9" s="1"/>
  <c r="C662" i="9" s="1"/>
  <c r="H269" i="9"/>
  <c r="C660" i="9" s="1"/>
  <c r="H256" i="9"/>
  <c r="C246" i="9"/>
  <c r="C245" i="9"/>
  <c r="C244" i="9"/>
  <c r="C243" i="9"/>
  <c r="E241" i="9"/>
  <c r="E240" i="9"/>
  <c r="H237" i="9"/>
  <c r="H246" i="9" s="1"/>
  <c r="F237" i="9"/>
  <c r="H236" i="9"/>
  <c r="H245" i="9" s="1"/>
  <c r="D234" i="9"/>
  <c r="H234" i="9" s="1"/>
  <c r="I217" i="9"/>
  <c r="I218" i="9" s="1"/>
  <c r="H216" i="9"/>
  <c r="F203" i="9"/>
  <c r="F202" i="9"/>
  <c r="H202" i="9" s="1"/>
  <c r="H201" i="9"/>
  <c r="C592" i="9" s="1"/>
  <c r="C178" i="9"/>
  <c r="C177" i="9"/>
  <c r="C176" i="9"/>
  <c r="C175" i="9"/>
  <c r="E173" i="9"/>
  <c r="H204" i="9" s="1"/>
  <c r="E172" i="9"/>
  <c r="H169" i="9"/>
  <c r="H178" i="9" s="1"/>
  <c r="F169" i="9"/>
  <c r="H168" i="9"/>
  <c r="I149" i="9"/>
  <c r="I150" i="9" s="1"/>
  <c r="H148" i="9"/>
  <c r="F135" i="9"/>
  <c r="F134" i="9"/>
  <c r="H134" i="9" s="1"/>
  <c r="H133" i="9"/>
  <c r="C523" i="9" s="1"/>
  <c r="C110" i="9"/>
  <c r="C109" i="9"/>
  <c r="C108" i="9"/>
  <c r="C107" i="9"/>
  <c r="E105" i="9"/>
  <c r="H136" i="9" s="1"/>
  <c r="E104" i="9"/>
  <c r="H101" i="9"/>
  <c r="H110" i="9" s="1"/>
  <c r="F101" i="9"/>
  <c r="H100" i="9"/>
  <c r="D99" i="9"/>
  <c r="H99" i="9" s="1"/>
  <c r="D98" i="9"/>
  <c r="H98" i="9" s="1"/>
  <c r="F93" i="9"/>
  <c r="F161" i="9" s="1"/>
  <c r="H86" i="9"/>
  <c r="H88" i="9" s="1"/>
  <c r="H80" i="9"/>
  <c r="F65" i="9"/>
  <c r="F64" i="9"/>
  <c r="H64" i="9" s="1"/>
  <c r="C455" i="9" s="1"/>
  <c r="H63" i="9"/>
  <c r="C453" i="9" s="1"/>
  <c r="C40" i="9"/>
  <c r="C39" i="9"/>
  <c r="C38" i="9"/>
  <c r="C37" i="9"/>
  <c r="E35" i="9"/>
  <c r="H66" i="9" s="1"/>
  <c r="E34" i="9"/>
  <c r="H31" i="9"/>
  <c r="H40" i="9" s="1"/>
  <c r="F31" i="9"/>
  <c r="H30" i="9"/>
  <c r="H50" i="9" s="1"/>
  <c r="H29" i="9"/>
  <c r="C444" i="9" s="1"/>
  <c r="G29" i="9"/>
  <c r="G27" i="9"/>
  <c r="F27" i="9"/>
  <c r="G11" i="9"/>
  <c r="C436" i="9" s="1"/>
  <c r="H9" i="9"/>
  <c r="J4" i="9"/>
  <c r="C783" i="8"/>
  <c r="C776" i="8"/>
  <c r="C715" i="8"/>
  <c r="C710" i="8"/>
  <c r="C709" i="8"/>
  <c r="C708" i="8"/>
  <c r="C647" i="8"/>
  <c r="C645" i="8"/>
  <c r="C642" i="8"/>
  <c r="C641" i="8"/>
  <c r="C640" i="8"/>
  <c r="C579" i="8"/>
  <c r="C574" i="8"/>
  <c r="C573" i="8"/>
  <c r="C572" i="8"/>
  <c r="C510" i="8"/>
  <c r="C509" i="8"/>
  <c r="C508" i="8"/>
  <c r="C505" i="8"/>
  <c r="C504" i="8"/>
  <c r="C503" i="8"/>
  <c r="C440" i="8"/>
  <c r="C439" i="8"/>
  <c r="C435" i="8"/>
  <c r="C434" i="8"/>
  <c r="C433" i="8"/>
  <c r="H426" i="8"/>
  <c r="F407" i="8"/>
  <c r="F406" i="8"/>
  <c r="H406" i="8" s="1"/>
  <c r="C798" i="8" s="1"/>
  <c r="C382" i="8"/>
  <c r="C381" i="8"/>
  <c r="C380" i="8"/>
  <c r="C379" i="8"/>
  <c r="E377" i="8"/>
  <c r="H408" i="8" s="1"/>
  <c r="H373" i="8"/>
  <c r="H382" i="8" s="1"/>
  <c r="F373" i="8"/>
  <c r="H372" i="8"/>
  <c r="M361" i="8"/>
  <c r="I353" i="8"/>
  <c r="F339" i="8"/>
  <c r="H339" i="8" s="1"/>
  <c r="F338" i="8"/>
  <c r="H338" i="8" s="1"/>
  <c r="H337" i="8"/>
  <c r="C728" i="8" s="1"/>
  <c r="C314" i="8"/>
  <c r="C313" i="8"/>
  <c r="C312" i="8"/>
  <c r="C311" i="8"/>
  <c r="E309" i="8"/>
  <c r="H340" i="8" s="1"/>
  <c r="E308" i="8"/>
  <c r="H305" i="8"/>
  <c r="H314" i="8" s="1"/>
  <c r="F305" i="8"/>
  <c r="H304" i="8"/>
  <c r="D303" i="8"/>
  <c r="H303" i="8" s="1"/>
  <c r="I285" i="8"/>
  <c r="I286" i="8" s="1"/>
  <c r="H284" i="8"/>
  <c r="F271" i="8"/>
  <c r="F270" i="8"/>
  <c r="H270" i="8" s="1"/>
  <c r="C662" i="8" s="1"/>
  <c r="H269" i="8"/>
  <c r="C660" i="8" s="1"/>
  <c r="C246" i="8"/>
  <c r="C245" i="8"/>
  <c r="C244" i="8"/>
  <c r="C243" i="8"/>
  <c r="E241" i="8"/>
  <c r="H272" i="8" s="1"/>
  <c r="E240" i="8"/>
  <c r="H271" i="8" s="1"/>
  <c r="H237" i="8"/>
  <c r="H246" i="8" s="1"/>
  <c r="F237" i="8"/>
  <c r="H236" i="8"/>
  <c r="H256" i="8" s="1"/>
  <c r="D235" i="8"/>
  <c r="H235" i="8" s="1"/>
  <c r="D234" i="8"/>
  <c r="H234" i="8" s="1"/>
  <c r="H222" i="8"/>
  <c r="C646" i="8" s="1"/>
  <c r="I217" i="8"/>
  <c r="I218" i="8" s="1"/>
  <c r="H216" i="8"/>
  <c r="F203" i="8"/>
  <c r="F202" i="8"/>
  <c r="H202" i="8" s="1"/>
  <c r="C594" i="8" s="1"/>
  <c r="H201" i="8"/>
  <c r="C178" i="8"/>
  <c r="C177" i="8"/>
  <c r="C176" i="8"/>
  <c r="C175" i="8"/>
  <c r="E173" i="8"/>
  <c r="H204" i="8" s="1"/>
  <c r="E172" i="8"/>
  <c r="H169" i="8"/>
  <c r="H178" i="8" s="1"/>
  <c r="F169" i="8"/>
  <c r="H168" i="8"/>
  <c r="H177" i="8" s="1"/>
  <c r="I149" i="8"/>
  <c r="I150" i="8" s="1"/>
  <c r="H148" i="8"/>
  <c r="F135" i="8"/>
  <c r="H134" i="8"/>
  <c r="F134" i="8"/>
  <c r="H133" i="8"/>
  <c r="C523" i="8" s="1"/>
  <c r="C110" i="8"/>
  <c r="C109" i="8"/>
  <c r="C108" i="8"/>
  <c r="C107" i="8"/>
  <c r="E105" i="8"/>
  <c r="H136" i="8" s="1"/>
  <c r="E104" i="8"/>
  <c r="H101" i="8"/>
  <c r="H110" i="8" s="1"/>
  <c r="F101" i="8"/>
  <c r="H100" i="8"/>
  <c r="H120" i="8" s="1"/>
  <c r="D99" i="8"/>
  <c r="H99" i="8" s="1"/>
  <c r="D98" i="8"/>
  <c r="H98" i="8" s="1"/>
  <c r="F93" i="8"/>
  <c r="F161" i="8" s="1"/>
  <c r="H86" i="8"/>
  <c r="H88" i="8" s="1"/>
  <c r="H80" i="8"/>
  <c r="F65" i="8"/>
  <c r="H65" i="8" s="1"/>
  <c r="F64" i="8"/>
  <c r="H64" i="8" s="1"/>
  <c r="H63" i="8"/>
  <c r="C453" i="8" s="1"/>
  <c r="C40" i="8"/>
  <c r="C39" i="8"/>
  <c r="C38" i="8"/>
  <c r="C37" i="8"/>
  <c r="E35" i="8"/>
  <c r="H66" i="8" s="1"/>
  <c r="E34" i="8"/>
  <c r="H31" i="8"/>
  <c r="H40" i="8" s="1"/>
  <c r="F31" i="8"/>
  <c r="H30" i="8"/>
  <c r="H50" i="8" s="1"/>
  <c r="H29" i="8"/>
  <c r="C444" i="8" s="1"/>
  <c r="G27" i="8"/>
  <c r="F27" i="8" s="1"/>
  <c r="G11" i="8"/>
  <c r="C436" i="8" s="1"/>
  <c r="H9" i="8"/>
  <c r="J4" i="8"/>
  <c r="C783" i="7"/>
  <c r="C776" i="7"/>
  <c r="C715" i="7"/>
  <c r="C710" i="7"/>
  <c r="C709" i="7"/>
  <c r="C708" i="7"/>
  <c r="C647" i="7"/>
  <c r="C645" i="7"/>
  <c r="C642" i="7"/>
  <c r="C641" i="7"/>
  <c r="C640" i="7"/>
  <c r="C579" i="7"/>
  <c r="C574" i="7"/>
  <c r="C573" i="7"/>
  <c r="C572" i="7"/>
  <c r="C510" i="7"/>
  <c r="C509" i="7"/>
  <c r="C508" i="7"/>
  <c r="C505" i="7"/>
  <c r="C504" i="7"/>
  <c r="C503" i="7"/>
  <c r="C440" i="7"/>
  <c r="C439" i="7"/>
  <c r="C435" i="7"/>
  <c r="C434" i="7"/>
  <c r="C433" i="7"/>
  <c r="H426" i="7"/>
  <c r="F407" i="7"/>
  <c r="F406" i="7"/>
  <c r="H406" i="7" s="1"/>
  <c r="C798" i="7" s="1"/>
  <c r="C382" i="7"/>
  <c r="C381" i="7"/>
  <c r="C380" i="7"/>
  <c r="C379" i="7"/>
  <c r="E377" i="7"/>
  <c r="H408" i="7" s="1"/>
  <c r="H373" i="7"/>
  <c r="H382" i="7" s="1"/>
  <c r="F373" i="7"/>
  <c r="H372" i="7"/>
  <c r="M361" i="7"/>
  <c r="C778" i="7"/>
  <c r="I353" i="7"/>
  <c r="F339" i="7"/>
  <c r="F338" i="7"/>
  <c r="H338" i="7" s="1"/>
  <c r="C730" i="7" s="1"/>
  <c r="H337" i="7"/>
  <c r="C728" i="7" s="1"/>
  <c r="C314" i="7"/>
  <c r="C313" i="7"/>
  <c r="C312" i="7"/>
  <c r="C311" i="7"/>
  <c r="E309" i="7"/>
  <c r="H340" i="7" s="1"/>
  <c r="E308" i="7"/>
  <c r="H339" i="7" s="1"/>
  <c r="H305" i="7"/>
  <c r="H314" i="7" s="1"/>
  <c r="F305" i="7"/>
  <c r="H304" i="7"/>
  <c r="I285" i="7"/>
  <c r="I286" i="7" s="1"/>
  <c r="H284" i="7"/>
  <c r="F271" i="7"/>
  <c r="H270" i="7"/>
  <c r="C662" i="7" s="1"/>
  <c r="F270" i="7"/>
  <c r="H269" i="7"/>
  <c r="C660" i="7" s="1"/>
  <c r="C246" i="7"/>
  <c r="C245" i="7"/>
  <c r="C244" i="7"/>
  <c r="C243" i="7"/>
  <c r="E241" i="7"/>
  <c r="H272" i="7" s="1"/>
  <c r="E240" i="7"/>
  <c r="H237" i="7"/>
  <c r="H246" i="7" s="1"/>
  <c r="F237" i="7"/>
  <c r="H236" i="7"/>
  <c r="H245" i="7" s="1"/>
  <c r="D234" i="7"/>
  <c r="H234" i="7" s="1"/>
  <c r="I217" i="7"/>
  <c r="H216" i="7"/>
  <c r="F203" i="7"/>
  <c r="F202" i="7"/>
  <c r="H202" i="7" s="1"/>
  <c r="C594" i="7" s="1"/>
  <c r="H201" i="7"/>
  <c r="C592" i="7" s="1"/>
  <c r="C178" i="7"/>
  <c r="C177" i="7"/>
  <c r="C176" i="7"/>
  <c r="C175" i="7"/>
  <c r="E173" i="7"/>
  <c r="H204" i="7" s="1"/>
  <c r="E172" i="7"/>
  <c r="H169" i="7"/>
  <c r="H178" i="7" s="1"/>
  <c r="F169" i="7"/>
  <c r="H168" i="7"/>
  <c r="H188" i="7" s="1"/>
  <c r="I149" i="7"/>
  <c r="I150" i="7" s="1"/>
  <c r="H148" i="7"/>
  <c r="F135" i="7"/>
  <c r="F134" i="7"/>
  <c r="H134" i="7" s="1"/>
  <c r="H133" i="7"/>
  <c r="C523" i="7" s="1"/>
  <c r="C110" i="7"/>
  <c r="C109" i="7"/>
  <c r="C108" i="7"/>
  <c r="C107" i="7"/>
  <c r="E105" i="7"/>
  <c r="H136" i="7" s="1"/>
  <c r="E104" i="7"/>
  <c r="H135" i="7" s="1"/>
  <c r="H101" i="7"/>
  <c r="H110" i="7" s="1"/>
  <c r="F101" i="7"/>
  <c r="H100" i="7"/>
  <c r="D99" i="7"/>
  <c r="H99" i="7" s="1"/>
  <c r="D98" i="7"/>
  <c r="H98" i="7" s="1"/>
  <c r="F93" i="7"/>
  <c r="F161" i="7" s="1"/>
  <c r="H86" i="7"/>
  <c r="H88" i="7" s="1"/>
  <c r="H80" i="7"/>
  <c r="F65" i="7"/>
  <c r="F64" i="7"/>
  <c r="H64" i="7" s="1"/>
  <c r="H63" i="7"/>
  <c r="C453" i="7" s="1"/>
  <c r="C40" i="7"/>
  <c r="C39" i="7"/>
  <c r="C38" i="7"/>
  <c r="C37" i="7"/>
  <c r="E35" i="7"/>
  <c r="H66" i="7" s="1"/>
  <c r="E34" i="7"/>
  <c r="H31" i="7"/>
  <c r="H40" i="7" s="1"/>
  <c r="F31" i="7"/>
  <c r="H30" i="7"/>
  <c r="H39" i="7" s="1"/>
  <c r="H29" i="7"/>
  <c r="C444" i="7" s="1"/>
  <c r="G27" i="7"/>
  <c r="F27" i="7" s="1"/>
  <c r="G11" i="7"/>
  <c r="C436" i="7" s="1"/>
  <c r="H9" i="7"/>
  <c r="J4" i="7"/>
  <c r="C783" i="6"/>
  <c r="C776" i="6"/>
  <c r="C715" i="6"/>
  <c r="C710" i="6"/>
  <c r="C709" i="6"/>
  <c r="C708" i="6"/>
  <c r="C647" i="6"/>
  <c r="C645" i="6"/>
  <c r="C642" i="6"/>
  <c r="C641" i="6"/>
  <c r="C640" i="6"/>
  <c r="C579" i="6"/>
  <c r="C574" i="6"/>
  <c r="C573" i="6"/>
  <c r="C572" i="6"/>
  <c r="C510" i="6"/>
  <c r="C509" i="6"/>
  <c r="C508" i="6"/>
  <c r="C505" i="6"/>
  <c r="C504" i="6"/>
  <c r="C503" i="6"/>
  <c r="C440" i="6"/>
  <c r="C439" i="6"/>
  <c r="C435" i="6"/>
  <c r="C434" i="6"/>
  <c r="C433" i="6"/>
  <c r="H426" i="6"/>
  <c r="F407" i="6"/>
  <c r="F406" i="6"/>
  <c r="H406" i="6" s="1"/>
  <c r="C798" i="6" s="1"/>
  <c r="C382" i="6"/>
  <c r="C381" i="6"/>
  <c r="C380" i="6"/>
  <c r="C379" i="6"/>
  <c r="E377" i="6"/>
  <c r="H408" i="6" s="1"/>
  <c r="H373" i="6"/>
  <c r="H382" i="6" s="1"/>
  <c r="F373" i="6"/>
  <c r="H372" i="6"/>
  <c r="H392" i="6" s="1"/>
  <c r="M361" i="6"/>
  <c r="I353" i="6"/>
  <c r="F339" i="6"/>
  <c r="F338" i="6"/>
  <c r="H338" i="6" s="1"/>
  <c r="H337" i="6"/>
  <c r="C728" i="6" s="1"/>
  <c r="H314" i="6"/>
  <c r="C314" i="6"/>
  <c r="C313" i="6"/>
  <c r="C312" i="6"/>
  <c r="C311" i="6"/>
  <c r="E309" i="6"/>
  <c r="H340" i="6" s="1"/>
  <c r="E308" i="6"/>
  <c r="H305" i="6"/>
  <c r="F305" i="6"/>
  <c r="H304" i="6"/>
  <c r="I285" i="6"/>
  <c r="I286" i="6" s="1"/>
  <c r="H284" i="6"/>
  <c r="F271" i="6"/>
  <c r="F270" i="6"/>
  <c r="H270" i="6" s="1"/>
  <c r="H269" i="6"/>
  <c r="C660" i="6" s="1"/>
  <c r="C246" i="6"/>
  <c r="C245" i="6"/>
  <c r="C244" i="6"/>
  <c r="C243" i="6"/>
  <c r="E241" i="6"/>
  <c r="H272" i="6" s="1"/>
  <c r="E240" i="6"/>
  <c r="H237" i="6"/>
  <c r="H246" i="6" s="1"/>
  <c r="F237" i="6"/>
  <c r="H236" i="6"/>
  <c r="H256" i="6" s="1"/>
  <c r="D234" i="6"/>
  <c r="H234" i="6" s="1"/>
  <c r="I217" i="6"/>
  <c r="I218" i="6" s="1"/>
  <c r="H216" i="6"/>
  <c r="F203" i="6"/>
  <c r="H203" i="6" s="1"/>
  <c r="F202" i="6"/>
  <c r="H202" i="6" s="1"/>
  <c r="H201" i="6"/>
  <c r="C592" i="6" s="1"/>
  <c r="C178" i="6"/>
  <c r="C177" i="6"/>
  <c r="C176" i="6"/>
  <c r="C175" i="6"/>
  <c r="E173" i="6"/>
  <c r="H204" i="6" s="1"/>
  <c r="E172" i="6"/>
  <c r="H169" i="6"/>
  <c r="H178" i="6" s="1"/>
  <c r="F169" i="6"/>
  <c r="H168" i="6"/>
  <c r="I149" i="6"/>
  <c r="I150" i="6" s="1"/>
  <c r="H148" i="6"/>
  <c r="F135" i="6"/>
  <c r="H135" i="6" s="1"/>
  <c r="F134" i="6"/>
  <c r="H134" i="6" s="1"/>
  <c r="H133" i="6"/>
  <c r="C523" i="6" s="1"/>
  <c r="C110" i="6"/>
  <c r="C109" i="6"/>
  <c r="C108" i="6"/>
  <c r="C107" i="6"/>
  <c r="E105" i="6"/>
  <c r="H136" i="6" s="1"/>
  <c r="E104" i="6"/>
  <c r="H101" i="6"/>
  <c r="H110" i="6" s="1"/>
  <c r="F101" i="6"/>
  <c r="H100" i="6"/>
  <c r="D99" i="6"/>
  <c r="H99" i="6" s="1"/>
  <c r="D98" i="6"/>
  <c r="H98" i="6" s="1"/>
  <c r="F93" i="6"/>
  <c r="F161" i="6" s="1"/>
  <c r="H86" i="6"/>
  <c r="H88" i="6" s="1"/>
  <c r="H80" i="6"/>
  <c r="F65" i="6"/>
  <c r="H64" i="6"/>
  <c r="C455" i="6" s="1"/>
  <c r="F64" i="6"/>
  <c r="H63" i="6"/>
  <c r="C453" i="6" s="1"/>
  <c r="C40" i="6"/>
  <c r="C39" i="6"/>
  <c r="C38" i="6"/>
  <c r="C37" i="6"/>
  <c r="E35" i="6"/>
  <c r="H66" i="6" s="1"/>
  <c r="E34" i="6"/>
  <c r="H65" i="6" s="1"/>
  <c r="H31" i="6"/>
  <c r="H40" i="6" s="1"/>
  <c r="F31" i="6"/>
  <c r="H30" i="6"/>
  <c r="H50" i="6" s="1"/>
  <c r="H29" i="6"/>
  <c r="C444" i="6" s="1"/>
  <c r="G27" i="6"/>
  <c r="F27" i="6"/>
  <c r="H11" i="6"/>
  <c r="C437" i="6" s="1"/>
  <c r="G11" i="6"/>
  <c r="C436" i="6" s="1"/>
  <c r="H9" i="6"/>
  <c r="J4" i="6"/>
  <c r="I354" i="8" l="1"/>
  <c r="H352" i="8"/>
  <c r="I354" i="6"/>
  <c r="H352" i="6"/>
  <c r="G97" i="8"/>
  <c r="F97" i="8" s="1"/>
  <c r="H245" i="8"/>
  <c r="I354" i="9"/>
  <c r="H324" i="6"/>
  <c r="H313" i="6"/>
  <c r="H120" i="7"/>
  <c r="H203" i="8"/>
  <c r="H120" i="9"/>
  <c r="H109" i="9"/>
  <c r="H188" i="9"/>
  <c r="H177" i="9"/>
  <c r="H203" i="7"/>
  <c r="H39" i="8"/>
  <c r="G29" i="6"/>
  <c r="H120" i="6"/>
  <c r="H109" i="6"/>
  <c r="H188" i="6"/>
  <c r="H177" i="6"/>
  <c r="H271" i="6"/>
  <c r="H274" i="6" s="1"/>
  <c r="C661" i="6" s="1"/>
  <c r="H339" i="6"/>
  <c r="H65" i="7"/>
  <c r="G97" i="7"/>
  <c r="F97" i="7" s="1"/>
  <c r="H271" i="7"/>
  <c r="H274" i="7" s="1"/>
  <c r="C661" i="7" s="1"/>
  <c r="H324" i="7"/>
  <c r="H135" i="8"/>
  <c r="H324" i="8"/>
  <c r="H313" i="8"/>
  <c r="H11" i="9"/>
  <c r="C437" i="9" s="1"/>
  <c r="H65" i="9"/>
  <c r="H135" i="9"/>
  <c r="H203" i="9"/>
  <c r="H206" i="9" s="1"/>
  <c r="C593" i="9" s="1"/>
  <c r="H392" i="9"/>
  <c r="C513" i="9"/>
  <c r="H108" i="9"/>
  <c r="G98" i="9"/>
  <c r="H427" i="9"/>
  <c r="C525" i="9"/>
  <c r="C594" i="9"/>
  <c r="C650" i="9"/>
  <c r="H244" i="9"/>
  <c r="G234" i="9"/>
  <c r="H68" i="9"/>
  <c r="C454" i="9" s="1"/>
  <c r="F229" i="9"/>
  <c r="G165" i="9"/>
  <c r="F165" i="9" s="1"/>
  <c r="C514" i="9"/>
  <c r="G99" i="9"/>
  <c r="H138" i="9"/>
  <c r="C524" i="9" s="1"/>
  <c r="I13" i="9"/>
  <c r="D32" i="9"/>
  <c r="D33" i="9"/>
  <c r="H39" i="9"/>
  <c r="D63" i="9"/>
  <c r="G82" i="9"/>
  <c r="G97" i="9"/>
  <c r="F97" i="9" s="1"/>
  <c r="H271" i="9"/>
  <c r="H342" i="9"/>
  <c r="C729" i="9" s="1"/>
  <c r="H13" i="9"/>
  <c r="I286" i="9"/>
  <c r="H324" i="9"/>
  <c r="H313" i="9"/>
  <c r="H352" i="9"/>
  <c r="C777" i="9"/>
  <c r="H405" i="9"/>
  <c r="E376" i="9"/>
  <c r="H407" i="9" s="1"/>
  <c r="C778" i="9"/>
  <c r="H381" i="9"/>
  <c r="H68" i="8"/>
  <c r="C454" i="8" s="1"/>
  <c r="C514" i="8"/>
  <c r="G99" i="8"/>
  <c r="H138" i="8"/>
  <c r="C524" i="8" s="1"/>
  <c r="C455" i="8"/>
  <c r="F229" i="8"/>
  <c r="G165" i="8"/>
  <c r="F165" i="8" s="1"/>
  <c r="C513" i="8"/>
  <c r="H108" i="8"/>
  <c r="G98" i="8"/>
  <c r="H206" i="8"/>
  <c r="C593" i="8" s="1"/>
  <c r="H11" i="8"/>
  <c r="G29" i="8"/>
  <c r="H109" i="8"/>
  <c r="C592" i="8"/>
  <c r="C650" i="8"/>
  <c r="H244" i="8"/>
  <c r="G234" i="8"/>
  <c r="C730" i="8"/>
  <c r="G82" i="8"/>
  <c r="H427" i="8"/>
  <c r="C525" i="8"/>
  <c r="H188" i="8"/>
  <c r="C651" i="8"/>
  <c r="G235" i="8"/>
  <c r="H274" i="8"/>
  <c r="C661" i="8" s="1"/>
  <c r="C719" i="8"/>
  <c r="G303" i="8"/>
  <c r="H342" i="8"/>
  <c r="C729" i="8" s="1"/>
  <c r="C777" i="8"/>
  <c r="H405" i="8"/>
  <c r="E376" i="8"/>
  <c r="H407" i="8" s="1"/>
  <c r="C778" i="8"/>
  <c r="H392" i="8"/>
  <c r="H381" i="8"/>
  <c r="C455" i="7"/>
  <c r="F229" i="7"/>
  <c r="G165" i="7"/>
  <c r="F165" i="7" s="1"/>
  <c r="C513" i="7"/>
  <c r="H108" i="7"/>
  <c r="G98" i="7"/>
  <c r="H206" i="7"/>
  <c r="C593" i="7" s="1"/>
  <c r="H68" i="7"/>
  <c r="C454" i="7" s="1"/>
  <c r="C514" i="7"/>
  <c r="G99" i="7"/>
  <c r="H138" i="7"/>
  <c r="C524" i="7" s="1"/>
  <c r="H11" i="7"/>
  <c r="G29" i="7"/>
  <c r="H50" i="7"/>
  <c r="H109" i="7"/>
  <c r="H177" i="7"/>
  <c r="H342" i="7"/>
  <c r="C729" i="7" s="1"/>
  <c r="G82" i="7"/>
  <c r="H427" i="7"/>
  <c r="C525" i="7"/>
  <c r="C650" i="7"/>
  <c r="H244" i="7"/>
  <c r="G234" i="7"/>
  <c r="I218" i="7"/>
  <c r="H256" i="7"/>
  <c r="H313" i="7"/>
  <c r="H352" i="7"/>
  <c r="I354" i="7"/>
  <c r="H392" i="7"/>
  <c r="H381" i="7"/>
  <c r="C777" i="7"/>
  <c r="H405" i="7"/>
  <c r="E376" i="7"/>
  <c r="H407" i="7" s="1"/>
  <c r="C513" i="6"/>
  <c r="H108" i="6"/>
  <c r="G98" i="6"/>
  <c r="H427" i="6"/>
  <c r="C525" i="6"/>
  <c r="H68" i="6"/>
  <c r="C454" i="6" s="1"/>
  <c r="F229" i="6"/>
  <c r="G165" i="6"/>
  <c r="F165" i="6" s="1"/>
  <c r="C514" i="6"/>
  <c r="G99" i="6"/>
  <c r="H138" i="6"/>
  <c r="C524" i="6" s="1"/>
  <c r="H13" i="6"/>
  <c r="I13" i="6"/>
  <c r="D32" i="6"/>
  <c r="D33" i="6"/>
  <c r="D63" i="6" s="1"/>
  <c r="H39" i="6"/>
  <c r="G82" i="6"/>
  <c r="G97" i="6"/>
  <c r="F97" i="6" s="1"/>
  <c r="H206" i="6"/>
  <c r="C593" i="6" s="1"/>
  <c r="C662" i="6"/>
  <c r="H342" i="6"/>
  <c r="C729" i="6" s="1"/>
  <c r="C594" i="6"/>
  <c r="C650" i="6"/>
  <c r="H244" i="6"/>
  <c r="G234" i="6"/>
  <c r="C730" i="6"/>
  <c r="H245" i="6"/>
  <c r="C777" i="6"/>
  <c r="H405" i="6"/>
  <c r="E376" i="6"/>
  <c r="H407" i="6" s="1"/>
  <c r="C778" i="6"/>
  <c r="H381" i="6"/>
  <c r="C438" i="9" l="1"/>
  <c r="H15" i="9"/>
  <c r="J84" i="9"/>
  <c r="D28" i="9"/>
  <c r="H274" i="9"/>
  <c r="C661" i="9" s="1"/>
  <c r="D67" i="9"/>
  <c r="H32" i="9"/>
  <c r="C446" i="9" s="1"/>
  <c r="H67" i="9"/>
  <c r="F297" i="9"/>
  <c r="G233" i="9"/>
  <c r="F233" i="9" s="1"/>
  <c r="C796" i="9"/>
  <c r="H410" i="9"/>
  <c r="C797" i="9" s="1"/>
  <c r="C506" i="9"/>
  <c r="G150" i="9"/>
  <c r="H82" i="9"/>
  <c r="H46" i="9"/>
  <c r="H49" i="9"/>
  <c r="H410" i="8"/>
  <c r="C797" i="8" s="1"/>
  <c r="C506" i="8"/>
  <c r="G150" i="8"/>
  <c r="H82" i="8"/>
  <c r="C796" i="8"/>
  <c r="C437" i="8"/>
  <c r="J82" i="8"/>
  <c r="D33" i="8"/>
  <c r="D32" i="8"/>
  <c r="I13" i="8"/>
  <c r="H13" i="8"/>
  <c r="F297" i="8"/>
  <c r="G233" i="8"/>
  <c r="F233" i="8" s="1"/>
  <c r="H410" i="7"/>
  <c r="C797" i="7" s="1"/>
  <c r="C506" i="7"/>
  <c r="G150" i="7"/>
  <c r="H82" i="7"/>
  <c r="J82" i="7" s="1"/>
  <c r="C796" i="7"/>
  <c r="C437" i="7"/>
  <c r="D33" i="7"/>
  <c r="D32" i="7"/>
  <c r="I13" i="7"/>
  <c r="H13" i="7"/>
  <c r="F297" i="7"/>
  <c r="G233" i="7"/>
  <c r="F233" i="7" s="1"/>
  <c r="C506" i="6"/>
  <c r="G150" i="6"/>
  <c r="H82" i="6"/>
  <c r="H46" i="6"/>
  <c r="H49" i="6"/>
  <c r="C438" i="6"/>
  <c r="H15" i="6"/>
  <c r="J84" i="6"/>
  <c r="D28" i="6"/>
  <c r="H410" i="6"/>
  <c r="C797" i="6" s="1"/>
  <c r="C796" i="6"/>
  <c r="D67" i="6"/>
  <c r="H32" i="6"/>
  <c r="C446" i="6" s="1"/>
  <c r="H67" i="6"/>
  <c r="F297" i="6"/>
  <c r="G233" i="6"/>
  <c r="F233" i="6" s="1"/>
  <c r="C507" i="9" l="1"/>
  <c r="D103" i="9"/>
  <c r="D102" i="9"/>
  <c r="I84" i="9"/>
  <c r="D97" i="9"/>
  <c r="H87" i="9"/>
  <c r="J82" i="9"/>
  <c r="C452" i="9"/>
  <c r="C456" i="9" s="1"/>
  <c r="E456" i="9" s="1"/>
  <c r="H69" i="9"/>
  <c r="C575" i="9"/>
  <c r="G218" i="9"/>
  <c r="H150" i="9"/>
  <c r="K150" i="9"/>
  <c r="K149" i="9"/>
  <c r="F365" i="9"/>
  <c r="G369" i="9" s="1"/>
  <c r="F369" i="9" s="1"/>
  <c r="G301" i="9"/>
  <c r="F301" i="9" s="1"/>
  <c r="H28" i="9"/>
  <c r="D27" i="9"/>
  <c r="J86" i="9"/>
  <c r="H16" i="9"/>
  <c r="J11" i="9"/>
  <c r="D63" i="8"/>
  <c r="H49" i="8"/>
  <c r="H46" i="8"/>
  <c r="C575" i="8"/>
  <c r="G218" i="8"/>
  <c r="H150" i="8"/>
  <c r="K149" i="8"/>
  <c r="K150" i="8"/>
  <c r="F365" i="8"/>
  <c r="G369" i="8" s="1"/>
  <c r="F369" i="8" s="1"/>
  <c r="G301" i="8"/>
  <c r="F301" i="8" s="1"/>
  <c r="C438" i="8"/>
  <c r="J84" i="8"/>
  <c r="D28" i="8"/>
  <c r="H15" i="8"/>
  <c r="H67" i="8"/>
  <c r="D67" i="8"/>
  <c r="H32" i="8"/>
  <c r="C446" i="8" s="1"/>
  <c r="C507" i="8"/>
  <c r="D97" i="8"/>
  <c r="D103" i="8"/>
  <c r="D102" i="8"/>
  <c r="I84" i="8"/>
  <c r="H87" i="8"/>
  <c r="D63" i="7"/>
  <c r="H49" i="7"/>
  <c r="H46" i="7"/>
  <c r="C575" i="7"/>
  <c r="G218" i="7"/>
  <c r="H150" i="7"/>
  <c r="K149" i="7"/>
  <c r="K150" i="7"/>
  <c r="H153" i="7" s="1"/>
  <c r="F365" i="7"/>
  <c r="G369" i="7" s="1"/>
  <c r="F369" i="7" s="1"/>
  <c r="G301" i="7"/>
  <c r="F301" i="7" s="1"/>
  <c r="C438" i="7"/>
  <c r="J84" i="7"/>
  <c r="D28" i="7"/>
  <c r="H15" i="7"/>
  <c r="H67" i="7"/>
  <c r="D67" i="7"/>
  <c r="H32" i="7"/>
  <c r="C446" i="7" s="1"/>
  <c r="C507" i="7"/>
  <c r="D97" i="7"/>
  <c r="D103" i="7"/>
  <c r="D102" i="7"/>
  <c r="I84" i="7"/>
  <c r="H87" i="7"/>
  <c r="C452" i="6"/>
  <c r="C456" i="6" s="1"/>
  <c r="E456" i="6" s="1"/>
  <c r="H69" i="6"/>
  <c r="C575" i="6"/>
  <c r="G218" i="6"/>
  <c r="H150" i="6"/>
  <c r="K150" i="6"/>
  <c r="H153" i="6" s="1"/>
  <c r="K149" i="6"/>
  <c r="H152" i="6" s="1"/>
  <c r="F365" i="6"/>
  <c r="G369" i="6" s="1"/>
  <c r="F369" i="6" s="1"/>
  <c r="G301" i="6"/>
  <c r="F301" i="6" s="1"/>
  <c r="H28" i="6"/>
  <c r="D27" i="6"/>
  <c r="J86" i="6"/>
  <c r="H16" i="6"/>
  <c r="J11" i="6"/>
  <c r="C507" i="6"/>
  <c r="D103" i="6"/>
  <c r="D102" i="6"/>
  <c r="I84" i="6"/>
  <c r="D97" i="6"/>
  <c r="J82" i="6"/>
  <c r="H87" i="6"/>
  <c r="J153" i="7" l="1"/>
  <c r="J153" i="9"/>
  <c r="J153" i="8"/>
  <c r="H152" i="8"/>
  <c r="J87" i="9"/>
  <c r="C443" i="9"/>
  <c r="G28" i="9"/>
  <c r="H38" i="9"/>
  <c r="D167" i="9"/>
  <c r="H167" i="9" s="1"/>
  <c r="C643" i="9"/>
  <c r="G286" i="9"/>
  <c r="H218" i="9"/>
  <c r="K218" i="9"/>
  <c r="K217" i="9"/>
  <c r="H70" i="9"/>
  <c r="H71" i="9"/>
  <c r="H97" i="9"/>
  <c r="E103" i="9"/>
  <c r="H137" i="9"/>
  <c r="D137" i="9"/>
  <c r="H102" i="9"/>
  <c r="C516" i="9" s="1"/>
  <c r="E33" i="9"/>
  <c r="H27" i="9"/>
  <c r="K151" i="9"/>
  <c r="C576" i="9"/>
  <c r="D171" i="9"/>
  <c r="D170" i="9"/>
  <c r="I152" i="9"/>
  <c r="D133" i="9"/>
  <c r="H119" i="9"/>
  <c r="H116" i="9"/>
  <c r="D137" i="8"/>
  <c r="H102" i="8"/>
  <c r="C516" i="8" s="1"/>
  <c r="H137" i="8"/>
  <c r="C452" i="8"/>
  <c r="C456" i="8" s="1"/>
  <c r="E456" i="8" s="1"/>
  <c r="H69" i="8"/>
  <c r="H116" i="8"/>
  <c r="H119" i="8"/>
  <c r="D133" i="8"/>
  <c r="J86" i="8"/>
  <c r="H16" i="8"/>
  <c r="J11" i="8"/>
  <c r="D167" i="8"/>
  <c r="H167" i="8" s="1"/>
  <c r="C576" i="8"/>
  <c r="D171" i="8"/>
  <c r="D170" i="8"/>
  <c r="E103" i="8"/>
  <c r="H97" i="8"/>
  <c r="H28" i="8"/>
  <c r="D27" i="8"/>
  <c r="K151" i="8"/>
  <c r="C643" i="8"/>
  <c r="H218" i="8"/>
  <c r="K217" i="8"/>
  <c r="J221" i="8" s="1"/>
  <c r="G286" i="8"/>
  <c r="K218" i="8"/>
  <c r="H116" i="7"/>
  <c r="H119" i="7"/>
  <c r="D133" i="7"/>
  <c r="J86" i="7"/>
  <c r="H16" i="7"/>
  <c r="J11" i="7"/>
  <c r="D167" i="7"/>
  <c r="H167" i="7" s="1"/>
  <c r="C576" i="7"/>
  <c r="D171" i="7"/>
  <c r="D170" i="7"/>
  <c r="D137" i="7"/>
  <c r="H102" i="7"/>
  <c r="C516" i="7" s="1"/>
  <c r="H137" i="7"/>
  <c r="E103" i="7"/>
  <c r="H97" i="7"/>
  <c r="C452" i="7"/>
  <c r="C456" i="7" s="1"/>
  <c r="E456" i="7" s="1"/>
  <c r="H69" i="7"/>
  <c r="H28" i="7"/>
  <c r="D27" i="7"/>
  <c r="H152" i="7"/>
  <c r="K151" i="7"/>
  <c r="C643" i="7"/>
  <c r="H218" i="7"/>
  <c r="G286" i="7"/>
  <c r="K217" i="7"/>
  <c r="K218" i="7"/>
  <c r="H97" i="6"/>
  <c r="E103" i="6"/>
  <c r="H137" i="6"/>
  <c r="D137" i="6"/>
  <c r="H102" i="6"/>
  <c r="C516" i="6" s="1"/>
  <c r="J87" i="6"/>
  <c r="C443" i="6"/>
  <c r="G28" i="6"/>
  <c r="H38" i="6"/>
  <c r="D167" i="6"/>
  <c r="H167" i="6" s="1"/>
  <c r="C643" i="6"/>
  <c r="G286" i="6"/>
  <c r="H218" i="6"/>
  <c r="K217" i="6"/>
  <c r="K218" i="6"/>
  <c r="H221" i="6" s="1"/>
  <c r="H70" i="6"/>
  <c r="H71" i="6"/>
  <c r="D133" i="6"/>
  <c r="H119" i="6"/>
  <c r="H116" i="6"/>
  <c r="E33" i="6"/>
  <c r="H27" i="6"/>
  <c r="K151" i="6"/>
  <c r="C576" i="6"/>
  <c r="D170" i="6"/>
  <c r="I152" i="6"/>
  <c r="D171" i="6"/>
  <c r="K219" i="6" l="1"/>
  <c r="J221" i="7"/>
  <c r="K219" i="9"/>
  <c r="J221" i="9"/>
  <c r="H205" i="9"/>
  <c r="D205" i="9"/>
  <c r="H170" i="9"/>
  <c r="C585" i="9" s="1"/>
  <c r="C577" i="9"/>
  <c r="H154" i="9"/>
  <c r="I157" i="9" s="1"/>
  <c r="D166" i="9"/>
  <c r="C445" i="9"/>
  <c r="H48" i="9"/>
  <c r="F48" i="9" s="1"/>
  <c r="H47" i="9"/>
  <c r="H37" i="9"/>
  <c r="H41" i="9" s="1"/>
  <c r="C447" i="9" s="1"/>
  <c r="H33" i="9"/>
  <c r="H139" i="9"/>
  <c r="C522" i="9"/>
  <c r="C526" i="9" s="1"/>
  <c r="E526" i="9" s="1"/>
  <c r="C515" i="9"/>
  <c r="H107" i="9"/>
  <c r="H111" i="9" s="1"/>
  <c r="C517" i="9" s="1"/>
  <c r="H103" i="9"/>
  <c r="H118" i="9"/>
  <c r="F118" i="9" s="1"/>
  <c r="H117" i="9"/>
  <c r="F117" i="9" s="1"/>
  <c r="D235" i="9"/>
  <c r="H235" i="9" s="1"/>
  <c r="H222" i="9"/>
  <c r="I225" i="9" s="1"/>
  <c r="C711" i="9"/>
  <c r="G354" i="9"/>
  <c r="H286" i="9"/>
  <c r="K285" i="9"/>
  <c r="K286" i="9"/>
  <c r="C583" i="9"/>
  <c r="G167" i="9"/>
  <c r="D201" i="9"/>
  <c r="H187" i="9"/>
  <c r="H184" i="9"/>
  <c r="C644" i="9"/>
  <c r="D239" i="9"/>
  <c r="D238" i="9"/>
  <c r="D233" i="9"/>
  <c r="I225" i="8"/>
  <c r="K219" i="8"/>
  <c r="C577" i="8"/>
  <c r="D166" i="8"/>
  <c r="H154" i="8"/>
  <c r="E33" i="8"/>
  <c r="H27" i="8"/>
  <c r="C515" i="8"/>
  <c r="H118" i="8"/>
  <c r="F118" i="8" s="1"/>
  <c r="H117" i="8"/>
  <c r="F117" i="8" s="1"/>
  <c r="H107" i="8"/>
  <c r="H111" i="8" s="1"/>
  <c r="C517" i="8" s="1"/>
  <c r="H103" i="8"/>
  <c r="D205" i="8"/>
  <c r="H205" i="8"/>
  <c r="H170" i="8"/>
  <c r="C585" i="8" s="1"/>
  <c r="C711" i="8"/>
  <c r="G354" i="8"/>
  <c r="H286" i="8"/>
  <c r="K285" i="8"/>
  <c r="J289" i="8" s="1"/>
  <c r="K286" i="8"/>
  <c r="C644" i="8"/>
  <c r="D239" i="8"/>
  <c r="D238" i="8"/>
  <c r="H223" i="8"/>
  <c r="D233" i="8"/>
  <c r="H224" i="8"/>
  <c r="I157" i="8"/>
  <c r="C443" i="8"/>
  <c r="H38" i="8"/>
  <c r="G28" i="8"/>
  <c r="H187" i="8"/>
  <c r="H184" i="8"/>
  <c r="D201" i="8"/>
  <c r="C583" i="8"/>
  <c r="G167" i="8"/>
  <c r="J87" i="8"/>
  <c r="H71" i="8"/>
  <c r="H70" i="8"/>
  <c r="C522" i="8"/>
  <c r="C526" i="8" s="1"/>
  <c r="E526" i="8" s="1"/>
  <c r="H139" i="8"/>
  <c r="D235" i="7"/>
  <c r="H235" i="7" s="1"/>
  <c r="H222" i="7"/>
  <c r="I225" i="7" s="1"/>
  <c r="C711" i="7"/>
  <c r="H286" i="7"/>
  <c r="K285" i="7"/>
  <c r="G354" i="7"/>
  <c r="K286" i="7"/>
  <c r="D303" i="7" s="1"/>
  <c r="H303" i="7" s="1"/>
  <c r="C577" i="7"/>
  <c r="D166" i="7"/>
  <c r="H154" i="7"/>
  <c r="I157" i="7" s="1"/>
  <c r="C443" i="7"/>
  <c r="H38" i="7"/>
  <c r="G28" i="7"/>
  <c r="H184" i="7"/>
  <c r="D201" i="7"/>
  <c r="H187" i="7"/>
  <c r="C583" i="7"/>
  <c r="G167" i="7"/>
  <c r="J87" i="7"/>
  <c r="K219" i="7"/>
  <c r="C644" i="7"/>
  <c r="D239" i="7"/>
  <c r="D238" i="7"/>
  <c r="E33" i="7"/>
  <c r="H27" i="7"/>
  <c r="H71" i="7"/>
  <c r="H70" i="7"/>
  <c r="C515" i="7"/>
  <c r="H118" i="7"/>
  <c r="F118" i="7" s="1"/>
  <c r="H117" i="7"/>
  <c r="F117" i="7" s="1"/>
  <c r="H107" i="7"/>
  <c r="H111" i="7" s="1"/>
  <c r="C517" i="7" s="1"/>
  <c r="H103" i="7"/>
  <c r="C522" i="7"/>
  <c r="C526" i="7" s="1"/>
  <c r="E526" i="7" s="1"/>
  <c r="H139" i="7"/>
  <c r="D205" i="7"/>
  <c r="H170" i="7"/>
  <c r="C585" i="7" s="1"/>
  <c r="H205" i="7"/>
  <c r="D201" i="6"/>
  <c r="H184" i="6"/>
  <c r="H187" i="6"/>
  <c r="H205" i="6"/>
  <c r="D205" i="6"/>
  <c r="H170" i="6"/>
  <c r="C585" i="6" s="1"/>
  <c r="D235" i="6"/>
  <c r="H235" i="6" s="1"/>
  <c r="H222" i="6"/>
  <c r="C644" i="6"/>
  <c r="I221" i="6"/>
  <c r="D239" i="6"/>
  <c r="D238" i="6"/>
  <c r="C577" i="6"/>
  <c r="H154" i="6"/>
  <c r="D166" i="6"/>
  <c r="C445" i="6"/>
  <c r="H48" i="6"/>
  <c r="F48" i="6" s="1"/>
  <c r="H47" i="6"/>
  <c r="H37" i="6"/>
  <c r="H41" i="6" s="1"/>
  <c r="C447" i="6" s="1"/>
  <c r="H33" i="6"/>
  <c r="H43" i="6" s="1"/>
  <c r="C711" i="6"/>
  <c r="G354" i="6"/>
  <c r="H286" i="6"/>
  <c r="K285" i="6"/>
  <c r="J290" i="6" s="1"/>
  <c r="K286" i="6"/>
  <c r="H289" i="6" s="1"/>
  <c r="D303" i="6" s="1"/>
  <c r="H303" i="6" s="1"/>
  <c r="C583" i="6"/>
  <c r="G167" i="6"/>
  <c r="C522" i="6"/>
  <c r="C526" i="6" s="1"/>
  <c r="E526" i="6" s="1"/>
  <c r="H139" i="6"/>
  <c r="C515" i="6"/>
  <c r="H107" i="6"/>
  <c r="H111" i="6" s="1"/>
  <c r="C517" i="6" s="1"/>
  <c r="H103" i="6"/>
  <c r="H118" i="6"/>
  <c r="F118" i="6" s="1"/>
  <c r="H117" i="6"/>
  <c r="F117" i="6" s="1"/>
  <c r="J289" i="7" l="1"/>
  <c r="H121" i="9"/>
  <c r="J289" i="9"/>
  <c r="H113" i="7"/>
  <c r="H43" i="9"/>
  <c r="C719" i="6"/>
  <c r="G303" i="6"/>
  <c r="H422" i="9"/>
  <c r="D273" i="9"/>
  <c r="H238" i="9"/>
  <c r="C653" i="9" s="1"/>
  <c r="H273" i="9"/>
  <c r="K287" i="9"/>
  <c r="C779" i="9"/>
  <c r="K353" i="9"/>
  <c r="K354" i="9"/>
  <c r="D371" i="9" s="1"/>
  <c r="H371" i="9" s="1"/>
  <c r="H354" i="9"/>
  <c r="H419" i="9" s="1"/>
  <c r="C646" i="9"/>
  <c r="H224" i="9"/>
  <c r="H223" i="9"/>
  <c r="H113" i="9"/>
  <c r="H123" i="9" s="1"/>
  <c r="H141" i="9"/>
  <c r="H140" i="9"/>
  <c r="H166" i="9"/>
  <c r="D165" i="9"/>
  <c r="H233" i="9"/>
  <c r="E239" i="9"/>
  <c r="H255" i="9"/>
  <c r="D269" i="9"/>
  <c r="H252" i="9"/>
  <c r="C518" i="9"/>
  <c r="C519" i="9" s="1"/>
  <c r="C528" i="9" s="1"/>
  <c r="D121" i="9"/>
  <c r="F121" i="9"/>
  <c r="D303" i="9"/>
  <c r="H303" i="9" s="1"/>
  <c r="M357" i="9"/>
  <c r="J422" i="9" s="1"/>
  <c r="C712" i="9"/>
  <c r="D307" i="9"/>
  <c r="D306" i="9"/>
  <c r="C651" i="9"/>
  <c r="G235" i="9"/>
  <c r="F47" i="9"/>
  <c r="H51" i="9"/>
  <c r="C578" i="9"/>
  <c r="H155" i="9"/>
  <c r="C591" i="9"/>
  <c r="C595" i="9" s="1"/>
  <c r="E595" i="9" s="1"/>
  <c r="H207" i="9"/>
  <c r="H233" i="8"/>
  <c r="E239" i="8"/>
  <c r="D273" i="8"/>
  <c r="H273" i="8"/>
  <c r="H238" i="8"/>
  <c r="C653" i="8" s="1"/>
  <c r="H288" i="8"/>
  <c r="K287" i="8"/>
  <c r="C779" i="8"/>
  <c r="H354" i="8"/>
  <c r="H419" i="8" s="1"/>
  <c r="K354" i="8"/>
  <c r="K353" i="8"/>
  <c r="H121" i="8"/>
  <c r="C591" i="8"/>
  <c r="C595" i="8" s="1"/>
  <c r="E595" i="8" s="1"/>
  <c r="H207" i="8"/>
  <c r="H113" i="8"/>
  <c r="H166" i="8"/>
  <c r="D165" i="8"/>
  <c r="H140" i="8"/>
  <c r="H141" i="8"/>
  <c r="H255" i="8"/>
  <c r="H252" i="8"/>
  <c r="D269" i="8"/>
  <c r="C712" i="8"/>
  <c r="D307" i="8"/>
  <c r="D306" i="8"/>
  <c r="C445" i="8"/>
  <c r="H37" i="8"/>
  <c r="H41" i="8" s="1"/>
  <c r="C447" i="8" s="1"/>
  <c r="H33" i="8"/>
  <c r="H48" i="8"/>
  <c r="F48" i="8" s="1"/>
  <c r="H47" i="8"/>
  <c r="C578" i="8"/>
  <c r="H155" i="8"/>
  <c r="D233" i="7"/>
  <c r="E239" i="7" s="1"/>
  <c r="H140" i="7"/>
  <c r="H141" i="7"/>
  <c r="C445" i="7"/>
  <c r="H37" i="7"/>
  <c r="H41" i="7" s="1"/>
  <c r="C447" i="7" s="1"/>
  <c r="H33" i="7"/>
  <c r="H48" i="7"/>
  <c r="F48" i="7" s="1"/>
  <c r="H47" i="7"/>
  <c r="H255" i="7"/>
  <c r="H252" i="7"/>
  <c r="D269" i="7"/>
  <c r="H166" i="7"/>
  <c r="D165" i="7"/>
  <c r="C719" i="7"/>
  <c r="G303" i="7"/>
  <c r="H288" i="7"/>
  <c r="K287" i="7"/>
  <c r="C651" i="7"/>
  <c r="G235" i="7"/>
  <c r="H121" i="7"/>
  <c r="H123" i="7" s="1"/>
  <c r="C591" i="7"/>
  <c r="C595" i="7" s="1"/>
  <c r="E595" i="7" s="1"/>
  <c r="H207" i="7"/>
  <c r="D273" i="7"/>
  <c r="H273" i="7"/>
  <c r="H238" i="7"/>
  <c r="C653" i="7" s="1"/>
  <c r="C578" i="7"/>
  <c r="H155" i="7"/>
  <c r="C779" i="7"/>
  <c r="K353" i="7"/>
  <c r="H354" i="7"/>
  <c r="M354" i="7" s="1"/>
  <c r="J419" i="7" s="1"/>
  <c r="K354" i="7"/>
  <c r="C712" i="7"/>
  <c r="D307" i="7"/>
  <c r="D306" i="7"/>
  <c r="C646" i="7"/>
  <c r="H224" i="7"/>
  <c r="H223" i="7"/>
  <c r="H113" i="6"/>
  <c r="K287" i="6"/>
  <c r="H288" i="6"/>
  <c r="C779" i="6"/>
  <c r="K354" i="6"/>
  <c r="H357" i="6" s="1"/>
  <c r="H422" i="6" s="1"/>
  <c r="H354" i="6"/>
  <c r="M354" i="6" s="1"/>
  <c r="J419" i="6" s="1"/>
  <c r="K353" i="6"/>
  <c r="H121" i="6"/>
  <c r="H166" i="6"/>
  <c r="D165" i="6"/>
  <c r="D269" i="6"/>
  <c r="H252" i="6"/>
  <c r="H255" i="6"/>
  <c r="D233" i="6"/>
  <c r="C646" i="6"/>
  <c r="H223" i="6"/>
  <c r="H224" i="6"/>
  <c r="C591" i="6"/>
  <c r="C595" i="6" s="1"/>
  <c r="E595" i="6" s="1"/>
  <c r="H207" i="6"/>
  <c r="H141" i="6"/>
  <c r="H140" i="6"/>
  <c r="C712" i="6"/>
  <c r="D307" i="6"/>
  <c r="D306" i="6"/>
  <c r="F47" i="6"/>
  <c r="H51" i="6"/>
  <c r="C578" i="6"/>
  <c r="H155" i="6"/>
  <c r="I157" i="6"/>
  <c r="H273" i="6"/>
  <c r="H238" i="6"/>
  <c r="C653" i="6" s="1"/>
  <c r="D273" i="6"/>
  <c r="C651" i="6"/>
  <c r="G235" i="6"/>
  <c r="M354" i="9" l="1"/>
  <c r="J419" i="9" s="1"/>
  <c r="J358" i="7"/>
  <c r="J358" i="8"/>
  <c r="J358" i="6"/>
  <c r="J357" i="9"/>
  <c r="D371" i="6"/>
  <c r="H371" i="6" s="1"/>
  <c r="M357" i="6"/>
  <c r="J422" i="6" s="1"/>
  <c r="H320" i="9"/>
  <c r="H323" i="9"/>
  <c r="D337" i="9"/>
  <c r="C652" i="9"/>
  <c r="H243" i="9"/>
  <c r="H247" i="9" s="1"/>
  <c r="C654" i="9" s="1"/>
  <c r="H239" i="9"/>
  <c r="H253" i="9"/>
  <c r="F253" i="9" s="1"/>
  <c r="H254" i="9"/>
  <c r="F254" i="9" s="1"/>
  <c r="C582" i="9"/>
  <c r="H176" i="9"/>
  <c r="G166" i="9"/>
  <c r="C787" i="9"/>
  <c r="G371" i="9"/>
  <c r="C713" i="9"/>
  <c r="H290" i="9"/>
  <c r="I293" i="9" s="1"/>
  <c r="D302" i="9"/>
  <c r="H421" i="9"/>
  <c r="H423" i="9" s="1"/>
  <c r="H425" i="9" s="1"/>
  <c r="H209" i="9"/>
  <c r="H208" i="9"/>
  <c r="C448" i="9"/>
  <c r="C449" i="9" s="1"/>
  <c r="C458" i="9" s="1"/>
  <c r="F51" i="9"/>
  <c r="D51" i="9"/>
  <c r="H53" i="9"/>
  <c r="D341" i="9"/>
  <c r="H341" i="9"/>
  <c r="H306" i="9"/>
  <c r="C721" i="9" s="1"/>
  <c r="C719" i="9"/>
  <c r="G303" i="9"/>
  <c r="H165" i="9"/>
  <c r="E171" i="9"/>
  <c r="J123" i="9"/>
  <c r="J124" i="9" s="1"/>
  <c r="J125" i="9" s="1"/>
  <c r="F123" i="9"/>
  <c r="F143" i="9"/>
  <c r="H92" i="9" s="1"/>
  <c r="H126" i="9"/>
  <c r="H127" i="9" s="1"/>
  <c r="D123" i="9"/>
  <c r="C780" i="9"/>
  <c r="D375" i="9"/>
  <c r="D374" i="9"/>
  <c r="K355" i="9"/>
  <c r="H275" i="9"/>
  <c r="C659" i="9"/>
  <c r="C663" i="9" s="1"/>
  <c r="E663" i="9" s="1"/>
  <c r="F47" i="8"/>
  <c r="H51" i="8"/>
  <c r="H43" i="8"/>
  <c r="H341" i="8"/>
  <c r="D341" i="8"/>
  <c r="H306" i="8"/>
  <c r="C721" i="8" s="1"/>
  <c r="C582" i="8"/>
  <c r="H176" i="8"/>
  <c r="G166" i="8"/>
  <c r="H123" i="8"/>
  <c r="H356" i="8"/>
  <c r="H421" i="8" s="1"/>
  <c r="K358" i="8"/>
  <c r="K355" i="8"/>
  <c r="C780" i="8"/>
  <c r="D375" i="8"/>
  <c r="D374" i="8"/>
  <c r="I356" i="8"/>
  <c r="C713" i="8"/>
  <c r="H290" i="8"/>
  <c r="I293" i="8" s="1"/>
  <c r="D302" i="8"/>
  <c r="H275" i="8"/>
  <c r="C659" i="8"/>
  <c r="C663" i="8" s="1"/>
  <c r="E663" i="8" s="1"/>
  <c r="M354" i="8"/>
  <c r="J419" i="8" s="1"/>
  <c r="D337" i="8"/>
  <c r="H323" i="8"/>
  <c r="H320" i="8"/>
  <c r="E171" i="8"/>
  <c r="H165" i="8"/>
  <c r="H208" i="8"/>
  <c r="H209" i="8"/>
  <c r="C518" i="8"/>
  <c r="C519" i="8" s="1"/>
  <c r="C528" i="8" s="1"/>
  <c r="F121" i="8"/>
  <c r="D121" i="8"/>
  <c r="D371" i="8"/>
  <c r="H371" i="8" s="1"/>
  <c r="H422" i="8"/>
  <c r="M357" i="8"/>
  <c r="J422" i="8" s="1"/>
  <c r="C652" i="8"/>
  <c r="H243" i="8"/>
  <c r="H247" i="8" s="1"/>
  <c r="C654" i="8" s="1"/>
  <c r="H239" i="8"/>
  <c r="H254" i="8"/>
  <c r="F254" i="8" s="1"/>
  <c r="H253" i="8"/>
  <c r="F253" i="8" s="1"/>
  <c r="H233" i="7"/>
  <c r="H243" i="7" s="1"/>
  <c r="H247" i="7" s="1"/>
  <c r="C654" i="7" s="1"/>
  <c r="F143" i="7"/>
  <c r="H92" i="7" s="1"/>
  <c r="H126" i="7"/>
  <c r="H127" i="7" s="1"/>
  <c r="D123" i="7"/>
  <c r="J123" i="7"/>
  <c r="J124" i="7" s="1"/>
  <c r="J125" i="7" s="1"/>
  <c r="F123" i="7"/>
  <c r="D341" i="7"/>
  <c r="H306" i="7"/>
  <c r="C721" i="7" s="1"/>
  <c r="H341" i="7"/>
  <c r="D371" i="7"/>
  <c r="H371" i="7" s="1"/>
  <c r="H422" i="7"/>
  <c r="M357" i="7"/>
  <c r="J422" i="7" s="1"/>
  <c r="K358" i="7"/>
  <c r="K355" i="7"/>
  <c r="H356" i="7"/>
  <c r="H358" i="7" s="1"/>
  <c r="C713" i="7"/>
  <c r="D302" i="7"/>
  <c r="H290" i="7"/>
  <c r="I293" i="7" s="1"/>
  <c r="M356" i="7"/>
  <c r="J421" i="7" s="1"/>
  <c r="C582" i="7"/>
  <c r="H176" i="7"/>
  <c r="G166" i="7"/>
  <c r="F47" i="7"/>
  <c r="H51" i="7"/>
  <c r="H43" i="7"/>
  <c r="H320" i="7"/>
  <c r="H323" i="7"/>
  <c r="D337" i="7"/>
  <c r="C780" i="7"/>
  <c r="D375" i="7"/>
  <c r="D374" i="7"/>
  <c r="I356" i="7"/>
  <c r="H419" i="7"/>
  <c r="H275" i="7"/>
  <c r="C659" i="7"/>
  <c r="C663" i="7" s="1"/>
  <c r="E663" i="7" s="1"/>
  <c r="H208" i="7"/>
  <c r="H209" i="7"/>
  <c r="C518" i="7"/>
  <c r="C519" i="7" s="1"/>
  <c r="C528" i="7" s="1"/>
  <c r="F121" i="7"/>
  <c r="D121" i="7"/>
  <c r="E171" i="7"/>
  <c r="H165" i="7"/>
  <c r="C652" i="7"/>
  <c r="H239" i="7"/>
  <c r="H253" i="7"/>
  <c r="F253" i="7" s="1"/>
  <c r="H275" i="6"/>
  <c r="C659" i="6"/>
  <c r="C663" i="6" s="1"/>
  <c r="E663" i="6" s="1"/>
  <c r="C448" i="6"/>
  <c r="C449" i="6" s="1"/>
  <c r="C458" i="6" s="1"/>
  <c r="F51" i="6"/>
  <c r="D51" i="6"/>
  <c r="H53" i="6"/>
  <c r="D337" i="6"/>
  <c r="H323" i="6"/>
  <c r="H320" i="6"/>
  <c r="H209" i="6"/>
  <c r="H208" i="6"/>
  <c r="C582" i="6"/>
  <c r="H176" i="6"/>
  <c r="G166" i="6"/>
  <c r="H356" i="6"/>
  <c r="M356" i="6" s="1"/>
  <c r="J421" i="6" s="1"/>
  <c r="K358" i="6"/>
  <c r="K355" i="6"/>
  <c r="C713" i="6"/>
  <c r="H290" i="6"/>
  <c r="D302" i="6"/>
  <c r="H341" i="6"/>
  <c r="D341" i="6"/>
  <c r="H306" i="6"/>
  <c r="C721" i="6" s="1"/>
  <c r="E239" i="6"/>
  <c r="H233" i="6"/>
  <c r="E171" i="6"/>
  <c r="H165" i="6"/>
  <c r="C518" i="6"/>
  <c r="C519" i="6" s="1"/>
  <c r="C528" i="6" s="1"/>
  <c r="D121" i="6"/>
  <c r="F121" i="6"/>
  <c r="C780" i="6"/>
  <c r="D375" i="6"/>
  <c r="D374" i="6"/>
  <c r="I356" i="6"/>
  <c r="H123" i="6"/>
  <c r="H419" i="6"/>
  <c r="M356" i="8" l="1"/>
  <c r="J421" i="8" s="1"/>
  <c r="H421" i="7"/>
  <c r="H423" i="7" s="1"/>
  <c r="J126" i="7"/>
  <c r="H421" i="6"/>
  <c r="H423" i="6" s="1"/>
  <c r="H425" i="6" s="1"/>
  <c r="C787" i="6"/>
  <c r="G371" i="6"/>
  <c r="H276" i="9"/>
  <c r="H277" i="9"/>
  <c r="H388" i="9"/>
  <c r="H391" i="9"/>
  <c r="D405" i="9"/>
  <c r="C781" i="9"/>
  <c r="H358" i="9"/>
  <c r="I361" i="9" s="1"/>
  <c r="D370" i="9"/>
  <c r="D409" i="9"/>
  <c r="H374" i="9"/>
  <c r="C789" i="9" s="1"/>
  <c r="H409" i="9"/>
  <c r="H143" i="9"/>
  <c r="H129" i="9"/>
  <c r="K129" i="9" s="1"/>
  <c r="H128" i="9"/>
  <c r="J126" i="9"/>
  <c r="J127" i="9" s="1"/>
  <c r="C584" i="9"/>
  <c r="H175" i="9"/>
  <c r="H179" i="9" s="1"/>
  <c r="C586" i="9" s="1"/>
  <c r="H171" i="9"/>
  <c r="H186" i="9"/>
  <c r="F186" i="9" s="1"/>
  <c r="H185" i="9"/>
  <c r="C727" i="9"/>
  <c r="C731" i="9" s="1"/>
  <c r="E731" i="9" s="1"/>
  <c r="H343" i="9"/>
  <c r="M356" i="9"/>
  <c r="J421" i="9" s="1"/>
  <c r="H302" i="9"/>
  <c r="D301" i="9"/>
  <c r="H249" i="9"/>
  <c r="F73" i="9"/>
  <c r="H22" i="9" s="1"/>
  <c r="H56" i="9"/>
  <c r="H57" i="9" s="1"/>
  <c r="D53" i="9"/>
  <c r="J53" i="9"/>
  <c r="J54" i="9" s="1"/>
  <c r="J55" i="9" s="1"/>
  <c r="F53" i="9"/>
  <c r="C714" i="9"/>
  <c r="H291" i="9"/>
  <c r="H257" i="9"/>
  <c r="H420" i="9"/>
  <c r="H249" i="8"/>
  <c r="C584" i="8"/>
  <c r="H185" i="8"/>
  <c r="H186" i="8"/>
  <c r="F186" i="8" s="1"/>
  <c r="H175" i="8"/>
  <c r="H179" i="8" s="1"/>
  <c r="C586" i="8" s="1"/>
  <c r="H171" i="8"/>
  <c r="H423" i="8"/>
  <c r="H302" i="8"/>
  <c r="D301" i="8"/>
  <c r="H388" i="8"/>
  <c r="H391" i="8"/>
  <c r="D405" i="8"/>
  <c r="C781" i="8"/>
  <c r="D370" i="8"/>
  <c r="H358" i="8"/>
  <c r="H424" i="8" s="1"/>
  <c r="F143" i="8"/>
  <c r="H92" i="8" s="1"/>
  <c r="H126" i="8"/>
  <c r="H127" i="8" s="1"/>
  <c r="D123" i="8"/>
  <c r="J123" i="8"/>
  <c r="J124" i="8" s="1"/>
  <c r="J125" i="8" s="1"/>
  <c r="F123" i="8"/>
  <c r="H257" i="8"/>
  <c r="H53" i="8"/>
  <c r="C787" i="8"/>
  <c r="G371" i="8"/>
  <c r="H276" i="8"/>
  <c r="H277" i="8"/>
  <c r="C714" i="8"/>
  <c r="H291" i="8"/>
  <c r="D409" i="8"/>
  <c r="H374" i="8"/>
  <c r="C789" i="8" s="1"/>
  <c r="H409" i="8"/>
  <c r="H343" i="8"/>
  <c r="C727" i="8"/>
  <c r="C731" i="8" s="1"/>
  <c r="E731" i="8" s="1"/>
  <c r="C448" i="8"/>
  <c r="C449" i="8" s="1"/>
  <c r="C458" i="8" s="1"/>
  <c r="D51" i="8"/>
  <c r="F51" i="8"/>
  <c r="H254" i="7"/>
  <c r="F254" i="7" s="1"/>
  <c r="H249" i="7"/>
  <c r="H276" i="7"/>
  <c r="H277" i="7"/>
  <c r="D409" i="7"/>
  <c r="H409" i="7"/>
  <c r="H374" i="7"/>
  <c r="C789" i="7" s="1"/>
  <c r="H53" i="7"/>
  <c r="H302" i="7"/>
  <c r="D301" i="7"/>
  <c r="C781" i="7"/>
  <c r="D370" i="7"/>
  <c r="C787" i="7"/>
  <c r="G371" i="7"/>
  <c r="J127" i="7"/>
  <c r="H128" i="7"/>
  <c r="H143" i="7"/>
  <c r="H129" i="7"/>
  <c r="K129" i="7" s="1"/>
  <c r="C584" i="7"/>
  <c r="H186" i="7"/>
  <c r="F186" i="7" s="1"/>
  <c r="H185" i="7"/>
  <c r="H175" i="7"/>
  <c r="H179" i="7" s="1"/>
  <c r="C586" i="7" s="1"/>
  <c r="H171" i="7"/>
  <c r="H388" i="7"/>
  <c r="H391" i="7"/>
  <c r="D405" i="7"/>
  <c r="C448" i="7"/>
  <c r="C449" i="7" s="1"/>
  <c r="C458" i="7" s="1"/>
  <c r="D51" i="7"/>
  <c r="F51" i="7"/>
  <c r="H257" i="7"/>
  <c r="C714" i="7"/>
  <c r="H291" i="7"/>
  <c r="M358" i="7"/>
  <c r="J423" i="7" s="1"/>
  <c r="H424" i="7"/>
  <c r="I361" i="7"/>
  <c r="C727" i="7"/>
  <c r="C731" i="7" s="1"/>
  <c r="E731" i="7" s="1"/>
  <c r="H343" i="7"/>
  <c r="J123" i="6"/>
  <c r="J124" i="6" s="1"/>
  <c r="J125" i="6" s="1"/>
  <c r="F123" i="6"/>
  <c r="F143" i="6"/>
  <c r="H92" i="6" s="1"/>
  <c r="H126" i="6"/>
  <c r="H127" i="6" s="1"/>
  <c r="D123" i="6"/>
  <c r="H388" i="6"/>
  <c r="H391" i="6"/>
  <c r="D405" i="6"/>
  <c r="C652" i="6"/>
  <c r="H254" i="6"/>
  <c r="F254" i="6" s="1"/>
  <c r="H253" i="6"/>
  <c r="H243" i="6"/>
  <c r="H247" i="6" s="1"/>
  <c r="C654" i="6" s="1"/>
  <c r="H239" i="6"/>
  <c r="D409" i="6"/>
  <c r="H374" i="6"/>
  <c r="C789" i="6" s="1"/>
  <c r="H409" i="6"/>
  <c r="C584" i="6"/>
  <c r="H186" i="6"/>
  <c r="F186" i="6" s="1"/>
  <c r="H185" i="6"/>
  <c r="H175" i="6"/>
  <c r="H179" i="6" s="1"/>
  <c r="C586" i="6" s="1"/>
  <c r="H171" i="6"/>
  <c r="H302" i="6"/>
  <c r="D301" i="6"/>
  <c r="H277" i="6"/>
  <c r="H276" i="6"/>
  <c r="C727" i="6"/>
  <c r="C731" i="6" s="1"/>
  <c r="E731" i="6" s="1"/>
  <c r="H343" i="6"/>
  <c r="C714" i="6"/>
  <c r="I293" i="6"/>
  <c r="H291" i="6"/>
  <c r="C781" i="6"/>
  <c r="D370" i="6"/>
  <c r="H358" i="6"/>
  <c r="I361" i="6" s="1"/>
  <c r="F73" i="6"/>
  <c r="H22" i="6" s="1"/>
  <c r="H56" i="6"/>
  <c r="H57" i="6" s="1"/>
  <c r="D53" i="6"/>
  <c r="J53" i="6"/>
  <c r="J54" i="6" s="1"/>
  <c r="J55" i="6" s="1"/>
  <c r="F53" i="6"/>
  <c r="H420" i="6" l="1"/>
  <c r="M358" i="8"/>
  <c r="J423" i="8" s="1"/>
  <c r="H425" i="7"/>
  <c r="H420" i="7"/>
  <c r="J56" i="6"/>
  <c r="J57" i="6" s="1"/>
  <c r="H181" i="6"/>
  <c r="J126" i="6"/>
  <c r="J127" i="6" s="1"/>
  <c r="M358" i="9"/>
  <c r="J423" i="9" s="1"/>
  <c r="H424" i="9"/>
  <c r="J56" i="9"/>
  <c r="J57" i="9" s="1"/>
  <c r="H58" i="9"/>
  <c r="H73" i="9"/>
  <c r="H59" i="9"/>
  <c r="K59" i="9" s="1"/>
  <c r="H259" i="9"/>
  <c r="C718" i="9"/>
  <c r="H312" i="9"/>
  <c r="G302" i="9"/>
  <c r="H344" i="9"/>
  <c r="H345" i="9"/>
  <c r="F185" i="9"/>
  <c r="H189" i="9"/>
  <c r="H181" i="9"/>
  <c r="H370" i="9"/>
  <c r="D369" i="9"/>
  <c r="C655" i="9"/>
  <c r="C656" i="9" s="1"/>
  <c r="C665" i="9" s="1"/>
  <c r="D257" i="9"/>
  <c r="F257" i="9"/>
  <c r="H301" i="9"/>
  <c r="E307" i="9"/>
  <c r="H411" i="9"/>
  <c r="C795" i="9"/>
  <c r="C799" i="9" s="1"/>
  <c r="E799" i="9" s="1"/>
  <c r="C782" i="9"/>
  <c r="H359" i="9"/>
  <c r="I361" i="8"/>
  <c r="H345" i="8"/>
  <c r="H344" i="8"/>
  <c r="J53" i="8"/>
  <c r="J54" i="8" s="1"/>
  <c r="J55" i="8" s="1"/>
  <c r="F53" i="8"/>
  <c r="F73" i="8"/>
  <c r="H22" i="8" s="1"/>
  <c r="H56" i="8"/>
  <c r="H57" i="8" s="1"/>
  <c r="D53" i="8"/>
  <c r="J126" i="8"/>
  <c r="J127" i="8" s="1"/>
  <c r="H128" i="8"/>
  <c r="H143" i="8"/>
  <c r="H129" i="8"/>
  <c r="K129" i="8" s="1"/>
  <c r="C782" i="8"/>
  <c r="H359" i="8"/>
  <c r="H301" i="8"/>
  <c r="E307" i="8"/>
  <c r="H425" i="8"/>
  <c r="H420" i="8"/>
  <c r="H181" i="8"/>
  <c r="C795" i="8"/>
  <c r="C799" i="8" s="1"/>
  <c r="E799" i="8" s="1"/>
  <c r="H411" i="8"/>
  <c r="C655" i="8"/>
  <c r="C656" i="8" s="1"/>
  <c r="C665" i="8" s="1"/>
  <c r="D257" i="8"/>
  <c r="F257" i="8"/>
  <c r="H370" i="8"/>
  <c r="D369" i="8"/>
  <c r="C718" i="8"/>
  <c r="H312" i="8"/>
  <c r="G302" i="8"/>
  <c r="F185" i="8"/>
  <c r="H189" i="8"/>
  <c r="H259" i="8"/>
  <c r="H344" i="7"/>
  <c r="H345" i="7"/>
  <c r="C655" i="7"/>
  <c r="C656" i="7" s="1"/>
  <c r="C665" i="7" s="1"/>
  <c r="D257" i="7"/>
  <c r="F257" i="7"/>
  <c r="H181" i="7"/>
  <c r="F185" i="7"/>
  <c r="H189" i="7"/>
  <c r="C782" i="7"/>
  <c r="H359" i="7"/>
  <c r="E307" i="7"/>
  <c r="H301" i="7"/>
  <c r="H259" i="7"/>
  <c r="H370" i="7"/>
  <c r="D369" i="7"/>
  <c r="C718" i="7"/>
  <c r="H312" i="7"/>
  <c r="G302" i="7"/>
  <c r="J53" i="7"/>
  <c r="J54" i="7" s="1"/>
  <c r="J55" i="7" s="1"/>
  <c r="F53" i="7"/>
  <c r="F73" i="7"/>
  <c r="H22" i="7" s="1"/>
  <c r="H56" i="7"/>
  <c r="H57" i="7" s="1"/>
  <c r="D53" i="7"/>
  <c r="C795" i="7"/>
  <c r="C799" i="7" s="1"/>
  <c r="E799" i="7" s="1"/>
  <c r="H411" i="7"/>
  <c r="H370" i="6"/>
  <c r="D369" i="6"/>
  <c r="H424" i="6"/>
  <c r="C718" i="6"/>
  <c r="H312" i="6"/>
  <c r="G302" i="6"/>
  <c r="H411" i="6"/>
  <c r="C795" i="6"/>
  <c r="C799" i="6" s="1"/>
  <c r="E799" i="6" s="1"/>
  <c r="H249" i="6"/>
  <c r="F253" i="6"/>
  <c r="H257" i="6"/>
  <c r="H58" i="6"/>
  <c r="H73" i="6"/>
  <c r="H59" i="6"/>
  <c r="K59" i="6" s="1"/>
  <c r="C782" i="6"/>
  <c r="H359" i="6"/>
  <c r="M358" i="6"/>
  <c r="J423" i="6" s="1"/>
  <c r="H345" i="6"/>
  <c r="H344" i="6"/>
  <c r="H301" i="6"/>
  <c r="E307" i="6"/>
  <c r="F185" i="6"/>
  <c r="H189" i="6"/>
  <c r="H143" i="6"/>
  <c r="H129" i="6"/>
  <c r="K129" i="6" s="1"/>
  <c r="H128" i="6"/>
  <c r="H191" i="9" l="1"/>
  <c r="C786" i="9"/>
  <c r="H380" i="9"/>
  <c r="G370" i="9"/>
  <c r="C587" i="9"/>
  <c r="C588" i="9" s="1"/>
  <c r="C597" i="9" s="1"/>
  <c r="D189" i="9"/>
  <c r="F189" i="9"/>
  <c r="F279" i="9"/>
  <c r="H228" i="9" s="1"/>
  <c r="J259" i="9"/>
  <c r="J260" i="9" s="1"/>
  <c r="J261" i="9" s="1"/>
  <c r="F259" i="9"/>
  <c r="D259" i="9"/>
  <c r="H262" i="9"/>
  <c r="H263" i="9" s="1"/>
  <c r="H412" i="9"/>
  <c r="H413" i="9"/>
  <c r="C720" i="9"/>
  <c r="H322" i="9"/>
  <c r="F322" i="9" s="1"/>
  <c r="H321" i="9"/>
  <c r="H311" i="9"/>
  <c r="H315" i="9" s="1"/>
  <c r="C722" i="9" s="1"/>
  <c r="H307" i="9"/>
  <c r="E375" i="9"/>
  <c r="H369" i="9"/>
  <c r="J191" i="9"/>
  <c r="J192" i="9" s="1"/>
  <c r="J193" i="9" s="1"/>
  <c r="F191" i="9"/>
  <c r="F211" i="9"/>
  <c r="H160" i="9" s="1"/>
  <c r="H194" i="9"/>
  <c r="H195" i="9" s="1"/>
  <c r="D191" i="9"/>
  <c r="F279" i="8"/>
  <c r="H228" i="8" s="1"/>
  <c r="J259" i="8"/>
  <c r="J260" i="8" s="1"/>
  <c r="J261" i="8" s="1"/>
  <c r="F259" i="8"/>
  <c r="H262" i="8"/>
  <c r="H263" i="8" s="1"/>
  <c r="D259" i="8"/>
  <c r="C786" i="8"/>
  <c r="H380" i="8"/>
  <c r="G370" i="8"/>
  <c r="H412" i="8"/>
  <c r="H413" i="8"/>
  <c r="H191" i="8"/>
  <c r="C720" i="8"/>
  <c r="H311" i="8"/>
  <c r="H315" i="8" s="1"/>
  <c r="C722" i="8" s="1"/>
  <c r="H307" i="8"/>
  <c r="H322" i="8"/>
  <c r="F322" i="8" s="1"/>
  <c r="H321" i="8"/>
  <c r="H73" i="8"/>
  <c r="H59" i="8"/>
  <c r="K59" i="8" s="1"/>
  <c r="H58" i="8"/>
  <c r="J56" i="8"/>
  <c r="J57" i="8" s="1"/>
  <c r="C587" i="8"/>
  <c r="C588" i="8" s="1"/>
  <c r="C597" i="8" s="1"/>
  <c r="D189" i="8"/>
  <c r="F189" i="8"/>
  <c r="E375" i="8"/>
  <c r="H369" i="8"/>
  <c r="H73" i="7"/>
  <c r="H59" i="7"/>
  <c r="K59" i="7" s="1"/>
  <c r="H58" i="7"/>
  <c r="J56" i="7"/>
  <c r="J57" i="7" s="1"/>
  <c r="H369" i="7"/>
  <c r="E375" i="7"/>
  <c r="C720" i="7"/>
  <c r="H322" i="7"/>
  <c r="F322" i="7" s="1"/>
  <c r="H321" i="7"/>
  <c r="H311" i="7"/>
  <c r="H315" i="7" s="1"/>
  <c r="C722" i="7" s="1"/>
  <c r="H307" i="7"/>
  <c r="C587" i="7"/>
  <c r="C588" i="7" s="1"/>
  <c r="C597" i="7" s="1"/>
  <c r="F189" i="7"/>
  <c r="D189" i="7"/>
  <c r="H191" i="7"/>
  <c r="H412" i="7"/>
  <c r="H413" i="7"/>
  <c r="C786" i="7"/>
  <c r="H380" i="7"/>
  <c r="G370" i="7"/>
  <c r="F279" i="7"/>
  <c r="H228" i="7" s="1"/>
  <c r="J259" i="7"/>
  <c r="J260" i="7" s="1"/>
  <c r="J261" i="7" s="1"/>
  <c r="F259" i="7"/>
  <c r="H262" i="7"/>
  <c r="H263" i="7" s="1"/>
  <c r="D259" i="7"/>
  <c r="C587" i="6"/>
  <c r="C588" i="6" s="1"/>
  <c r="C597" i="6" s="1"/>
  <c r="F189" i="6"/>
  <c r="D189" i="6"/>
  <c r="H191" i="6"/>
  <c r="C720" i="6"/>
  <c r="H311" i="6"/>
  <c r="H315" i="6" s="1"/>
  <c r="C722" i="6" s="1"/>
  <c r="H307" i="6"/>
  <c r="H322" i="6"/>
  <c r="F322" i="6" s="1"/>
  <c r="H321" i="6"/>
  <c r="E375" i="6"/>
  <c r="H369" i="6"/>
  <c r="C655" i="6"/>
  <c r="C656" i="6" s="1"/>
  <c r="C665" i="6" s="1"/>
  <c r="F257" i="6"/>
  <c r="D257" i="6"/>
  <c r="H259" i="6"/>
  <c r="H412" i="6"/>
  <c r="H413" i="6"/>
  <c r="C786" i="6"/>
  <c r="H380" i="6"/>
  <c r="G370" i="6"/>
  <c r="H317" i="6" l="1"/>
  <c r="J194" i="9"/>
  <c r="J195" i="9" s="1"/>
  <c r="H390" i="9"/>
  <c r="F390" i="9" s="1"/>
  <c r="H389" i="9"/>
  <c r="C788" i="9"/>
  <c r="H379" i="9"/>
  <c r="H383" i="9" s="1"/>
  <c r="C790" i="9" s="1"/>
  <c r="H375" i="9"/>
  <c r="H317" i="9"/>
  <c r="F321" i="9"/>
  <c r="H325" i="9"/>
  <c r="H265" i="9"/>
  <c r="H279" i="9"/>
  <c r="H264" i="9"/>
  <c r="J262" i="9"/>
  <c r="J263" i="9" s="1"/>
  <c r="H211" i="9"/>
  <c r="H197" i="9"/>
  <c r="K197" i="9" s="1"/>
  <c r="H196" i="9"/>
  <c r="H317" i="8"/>
  <c r="J262" i="8"/>
  <c r="J263" i="8" s="1"/>
  <c r="H390" i="8"/>
  <c r="F390" i="8" s="1"/>
  <c r="H389" i="8"/>
  <c r="C788" i="8"/>
  <c r="H379" i="8"/>
  <c r="H383" i="8" s="1"/>
  <c r="C790" i="8" s="1"/>
  <c r="H375" i="8"/>
  <c r="F211" i="8"/>
  <c r="H160" i="8" s="1"/>
  <c r="J191" i="8"/>
  <c r="J192" i="8" s="1"/>
  <c r="J193" i="8" s="1"/>
  <c r="F191" i="8"/>
  <c r="D191" i="8"/>
  <c r="H194" i="8"/>
  <c r="H195" i="8" s="1"/>
  <c r="H265" i="8"/>
  <c r="H279" i="8"/>
  <c r="H264" i="8"/>
  <c r="F321" i="8"/>
  <c r="H325" i="8"/>
  <c r="J262" i="7"/>
  <c r="J263" i="7" s="1"/>
  <c r="H265" i="7"/>
  <c r="H279" i="7"/>
  <c r="H264" i="7"/>
  <c r="F211" i="7"/>
  <c r="H160" i="7" s="1"/>
  <c r="H194" i="7"/>
  <c r="H195" i="7" s="1"/>
  <c r="D191" i="7"/>
  <c r="J191" i="7"/>
  <c r="J192" i="7" s="1"/>
  <c r="J193" i="7" s="1"/>
  <c r="F191" i="7"/>
  <c r="H317" i="7"/>
  <c r="F321" i="7"/>
  <c r="H325" i="7"/>
  <c r="H390" i="7"/>
  <c r="F390" i="7" s="1"/>
  <c r="H389" i="7"/>
  <c r="C788" i="7"/>
  <c r="H379" i="7"/>
  <c r="H383" i="7" s="1"/>
  <c r="C790" i="7" s="1"/>
  <c r="H375" i="7"/>
  <c r="F321" i="6"/>
  <c r="H325" i="6"/>
  <c r="H262" i="6"/>
  <c r="H263" i="6" s="1"/>
  <c r="D259" i="6"/>
  <c r="F279" i="6"/>
  <c r="H228" i="6" s="1"/>
  <c r="J259" i="6"/>
  <c r="J260" i="6" s="1"/>
  <c r="J261" i="6" s="1"/>
  <c r="F259" i="6"/>
  <c r="H390" i="6"/>
  <c r="F390" i="6" s="1"/>
  <c r="H389" i="6"/>
  <c r="C788" i="6"/>
  <c r="H379" i="6"/>
  <c r="H383" i="6" s="1"/>
  <c r="C790" i="6" s="1"/>
  <c r="H375" i="6"/>
  <c r="F211" i="6"/>
  <c r="H160" i="6" s="1"/>
  <c r="H194" i="6"/>
  <c r="H195" i="6" s="1"/>
  <c r="D191" i="6"/>
  <c r="J191" i="6"/>
  <c r="J192" i="6" s="1"/>
  <c r="J193" i="6" s="1"/>
  <c r="F191" i="6"/>
  <c r="H327" i="6"/>
  <c r="H385" i="9" l="1"/>
  <c r="J194" i="7"/>
  <c r="H327" i="8"/>
  <c r="C723" i="9"/>
  <c r="C724" i="9" s="1"/>
  <c r="C733" i="9" s="1"/>
  <c r="F325" i="9"/>
  <c r="D325" i="9"/>
  <c r="H327" i="9"/>
  <c r="F389" i="9"/>
  <c r="H393" i="9"/>
  <c r="J327" i="8"/>
  <c r="J328" i="8" s="1"/>
  <c r="J329" i="8" s="1"/>
  <c r="F327" i="8"/>
  <c r="F347" i="8"/>
  <c r="H296" i="8" s="1"/>
  <c r="H330" i="8"/>
  <c r="H331" i="8" s="1"/>
  <c r="D327" i="8"/>
  <c r="C723" i="8"/>
  <c r="C724" i="8" s="1"/>
  <c r="C733" i="8" s="1"/>
  <c r="D325" i="8"/>
  <c r="F325" i="8"/>
  <c r="H211" i="8"/>
  <c r="H197" i="8"/>
  <c r="K197" i="8" s="1"/>
  <c r="H196" i="8"/>
  <c r="J194" i="8"/>
  <c r="J195" i="8" s="1"/>
  <c r="H385" i="8"/>
  <c r="F389" i="8"/>
  <c r="H393" i="8"/>
  <c r="F389" i="7"/>
  <c r="H393" i="7"/>
  <c r="C723" i="7"/>
  <c r="C724" i="7" s="1"/>
  <c r="C733" i="7" s="1"/>
  <c r="F325" i="7"/>
  <c r="D325" i="7"/>
  <c r="H327" i="7"/>
  <c r="H385" i="7"/>
  <c r="J195" i="7"/>
  <c r="H211" i="7"/>
  <c r="H196" i="7"/>
  <c r="H197" i="7"/>
  <c r="K197" i="7" s="1"/>
  <c r="H385" i="6"/>
  <c r="J327" i="6"/>
  <c r="J328" i="6" s="1"/>
  <c r="J329" i="6" s="1"/>
  <c r="F327" i="6"/>
  <c r="F347" i="6"/>
  <c r="H296" i="6" s="1"/>
  <c r="H330" i="6"/>
  <c r="H331" i="6" s="1"/>
  <c r="D327" i="6"/>
  <c r="H211" i="6"/>
  <c r="H197" i="6"/>
  <c r="K197" i="6" s="1"/>
  <c r="H196" i="6"/>
  <c r="J194" i="6"/>
  <c r="J195" i="6" s="1"/>
  <c r="F389" i="6"/>
  <c r="H393" i="6"/>
  <c r="J262" i="6"/>
  <c r="J263" i="6" s="1"/>
  <c r="H279" i="6"/>
  <c r="H264" i="6"/>
  <c r="H265" i="6"/>
  <c r="C723" i="6"/>
  <c r="C724" i="6" s="1"/>
  <c r="C733" i="6" s="1"/>
  <c r="D325" i="6"/>
  <c r="F325" i="6"/>
  <c r="J330" i="8" l="1"/>
  <c r="J331" i="8" s="1"/>
  <c r="H395" i="7"/>
  <c r="F415" i="7" s="1"/>
  <c r="H364" i="7" s="1"/>
  <c r="C791" i="9"/>
  <c r="C792" i="9" s="1"/>
  <c r="C801" i="9" s="1"/>
  <c r="F393" i="9"/>
  <c r="D393" i="9"/>
  <c r="F347" i="9"/>
  <c r="H296" i="9" s="1"/>
  <c r="H330" i="9"/>
  <c r="H331" i="9" s="1"/>
  <c r="D327" i="9"/>
  <c r="J327" i="9"/>
  <c r="J328" i="9" s="1"/>
  <c r="J329" i="9" s="1"/>
  <c r="F327" i="9"/>
  <c r="H395" i="9"/>
  <c r="C791" i="8"/>
  <c r="C792" i="8" s="1"/>
  <c r="C801" i="8" s="1"/>
  <c r="F393" i="8"/>
  <c r="D393" i="8"/>
  <c r="H395" i="8"/>
  <c r="H347" i="8"/>
  <c r="H333" i="8"/>
  <c r="K333" i="8" s="1"/>
  <c r="H332" i="8"/>
  <c r="J395" i="7"/>
  <c r="J396" i="7" s="1"/>
  <c r="J397" i="7" s="1"/>
  <c r="F347" i="7"/>
  <c r="H296" i="7" s="1"/>
  <c r="H330" i="7"/>
  <c r="H331" i="7" s="1"/>
  <c r="D327" i="7"/>
  <c r="J327" i="7"/>
  <c r="J328" i="7" s="1"/>
  <c r="J329" i="7" s="1"/>
  <c r="F327" i="7"/>
  <c r="C791" i="7"/>
  <c r="C792" i="7" s="1"/>
  <c r="C801" i="7" s="1"/>
  <c r="F393" i="7"/>
  <c r="D393" i="7"/>
  <c r="C791" i="6"/>
  <c r="C792" i="6" s="1"/>
  <c r="C801" i="6" s="1"/>
  <c r="F393" i="6"/>
  <c r="D393" i="6"/>
  <c r="H347" i="6"/>
  <c r="H333" i="6"/>
  <c r="K333" i="6" s="1"/>
  <c r="H332" i="6"/>
  <c r="J330" i="6"/>
  <c r="J331" i="6" s="1"/>
  <c r="H395" i="6"/>
  <c r="H398" i="7" l="1"/>
  <c r="H399" i="7" s="1"/>
  <c r="H400" i="7" s="1"/>
  <c r="D395" i="7"/>
  <c r="F395" i="7"/>
  <c r="J398" i="7"/>
  <c r="J330" i="9"/>
  <c r="J331" i="9" s="1"/>
  <c r="F415" i="9"/>
  <c r="H364" i="9" s="1"/>
  <c r="H398" i="9"/>
  <c r="H399" i="9" s="1"/>
  <c r="D395" i="9"/>
  <c r="J395" i="9"/>
  <c r="J396" i="9" s="1"/>
  <c r="J397" i="9" s="1"/>
  <c r="F395" i="9"/>
  <c r="H332" i="9"/>
  <c r="H347" i="9"/>
  <c r="H333" i="9"/>
  <c r="K333" i="9" s="1"/>
  <c r="F415" i="8"/>
  <c r="H364" i="8" s="1"/>
  <c r="H398" i="8"/>
  <c r="H399" i="8" s="1"/>
  <c r="D395" i="8"/>
  <c r="J395" i="8"/>
  <c r="J396" i="8" s="1"/>
  <c r="J397" i="8" s="1"/>
  <c r="F395" i="8"/>
  <c r="J330" i="7"/>
  <c r="J331" i="7" s="1"/>
  <c r="H332" i="7"/>
  <c r="H347" i="7"/>
  <c r="H333" i="7"/>
  <c r="K333" i="7" s="1"/>
  <c r="J399" i="7"/>
  <c r="H401" i="7"/>
  <c r="K401" i="7" s="1"/>
  <c r="F415" i="6"/>
  <c r="H364" i="6" s="1"/>
  <c r="H398" i="6"/>
  <c r="H399" i="6" s="1"/>
  <c r="D395" i="6"/>
  <c r="J395" i="6"/>
  <c r="J396" i="6" s="1"/>
  <c r="J397" i="6" s="1"/>
  <c r="F395" i="6"/>
  <c r="H415" i="7" l="1"/>
  <c r="J398" i="9"/>
  <c r="J399" i="9" s="1"/>
  <c r="H400" i="9"/>
  <c r="H415" i="9"/>
  <c r="H401" i="9"/>
  <c r="K401" i="9" s="1"/>
  <c r="J398" i="8"/>
  <c r="J399" i="8" s="1"/>
  <c r="H400" i="8"/>
  <c r="H415" i="8"/>
  <c r="H401" i="8"/>
  <c r="K401" i="8" s="1"/>
  <c r="J398" i="6"/>
  <c r="J399" i="6" s="1"/>
  <c r="H400" i="6"/>
  <c r="H415" i="6"/>
  <c r="H401" i="6"/>
  <c r="K401" i="6" s="1"/>
</calcChain>
</file>

<file path=xl/sharedStrings.xml><?xml version="1.0" encoding="utf-8"?>
<sst xmlns="http://schemas.openxmlformats.org/spreadsheetml/2006/main" count="3587" uniqueCount="228">
  <si>
    <t>Exempt</t>
  </si>
  <si>
    <t>Site Area</t>
  </si>
  <si>
    <t>EXEMPT</t>
  </si>
  <si>
    <t>Built SF</t>
  </si>
  <si>
    <t>FAR</t>
  </si>
  <si>
    <t>Units (SF per)</t>
  </si>
  <si>
    <t>Onsite 70% AMI Affordable Units</t>
  </si>
  <si>
    <t>Low Rise</t>
  </si>
  <si>
    <t>Program</t>
  </si>
  <si>
    <t>Use:</t>
  </si>
  <si>
    <t xml:space="preserve">Multi-family </t>
  </si>
  <si>
    <t>Apartment</t>
  </si>
  <si>
    <t>Density Bonus Study</t>
  </si>
  <si>
    <t>Acres</t>
  </si>
  <si>
    <t>SF Land</t>
  </si>
  <si>
    <t>Base Model &lt;2 FAR</t>
  </si>
  <si>
    <t>Density</t>
  </si>
  <si>
    <t>Onsite</t>
  </si>
  <si>
    <t>Type &amp; FAR (GSF)</t>
  </si>
  <si>
    <t>Stick Over Podium</t>
  </si>
  <si>
    <t>Parking Ratio</t>
  </si>
  <si>
    <t>Affordability</t>
  </si>
  <si>
    <t>Offsite Afford Units @ 50% AMI</t>
  </si>
  <si>
    <t>Total Affordable Units</t>
  </si>
  <si>
    <t>Affordability % (of Total Units)</t>
  </si>
  <si>
    <t>Cashed Out</t>
  </si>
  <si>
    <t xml:space="preserve">Buyout Cost/Unit </t>
  </si>
  <si>
    <t>Off-site Purchase or Production Cost/Unit</t>
  </si>
  <si>
    <t>Test Results</t>
  </si>
  <si>
    <t>Return on Cost Threshold</t>
  </si>
  <si>
    <t>Results</t>
  </si>
  <si>
    <t>Market Rent</t>
  </si>
  <si>
    <t>Per SF/Mo</t>
  </si>
  <si>
    <t>Gross Potential Income</t>
  </si>
  <si>
    <t>Revenues - Private</t>
  </si>
  <si>
    <t>Units</t>
  </si>
  <si>
    <t>Unit Size</t>
  </si>
  <si>
    <t>Monthly Rent</t>
  </si>
  <si>
    <t>Rent/SF or /Space</t>
  </si>
  <si>
    <t>Annual Rent</t>
  </si>
  <si>
    <t>Market Rate Apartments</t>
  </si>
  <si>
    <t>Market Rate</t>
  </si>
  <si>
    <t>Baseline Affordable (70% AMI)</t>
  </si>
  <si>
    <t>Low Income</t>
  </si>
  <si>
    <t>Very Low Income (50% AMI)</t>
  </si>
  <si>
    <t>VLI</t>
  </si>
  <si>
    <t>Commercial</t>
  </si>
  <si>
    <t>Market Rate Retail</t>
  </si>
  <si>
    <t>Affordable Innovation</t>
  </si>
  <si>
    <t>Residential Parking Spaces</t>
  </si>
  <si>
    <t>RSF Residential</t>
  </si>
  <si>
    <t>Residential Efficiency &amp; GSF</t>
  </si>
  <si>
    <t>Commercial Efficiency &amp; GSF</t>
  </si>
  <si>
    <t>Vacancy &amp; Collection Losses</t>
  </si>
  <si>
    <t>Total Vacancy Loss</t>
  </si>
  <si>
    <t>Effective Gross Income</t>
  </si>
  <si>
    <t>Non-Reimburseable Expenses</t>
  </si>
  <si>
    <t>Residential</t>
  </si>
  <si>
    <t>Operating</t>
  </si>
  <si>
    <t>Per Unit</t>
  </si>
  <si>
    <t>RE Taxes</t>
  </si>
  <si>
    <t>of Resi PGI</t>
  </si>
  <si>
    <t>Management</t>
  </si>
  <si>
    <t>of Resi EGI</t>
  </si>
  <si>
    <t>Reserves</t>
  </si>
  <si>
    <t xml:space="preserve"> Mgt &amp; Reserves</t>
  </si>
  <si>
    <t>of Gross</t>
  </si>
  <si>
    <t>Subtotal</t>
  </si>
  <si>
    <t>of EGI</t>
  </si>
  <si>
    <t>Net Operating Income</t>
  </si>
  <si>
    <t>DS</t>
  </si>
  <si>
    <t>Mort</t>
  </si>
  <si>
    <t>Capitalized Value of Residential On Completion-At Stabilization</t>
  </si>
  <si>
    <t>Equity</t>
  </si>
  <si>
    <t>Capitalization Rate</t>
  </si>
  <si>
    <t>New Construction</t>
  </si>
  <si>
    <t>Overall Rate</t>
  </si>
  <si>
    <t>CF</t>
  </si>
  <si>
    <t>Rounded</t>
  </si>
  <si>
    <t>Cash-On-Cash</t>
  </si>
  <si>
    <t>Per GSF</t>
  </si>
  <si>
    <t>Development Cost</t>
  </si>
  <si>
    <t>Land</t>
  </si>
  <si>
    <t>Per SF</t>
  </si>
  <si>
    <t>Buyout or Offsite Cost</t>
  </si>
  <si>
    <t>per GSF</t>
  </si>
  <si>
    <t>Parking</t>
  </si>
  <si>
    <t>Above Grade Garage</t>
  </si>
  <si>
    <t>Spaces</t>
  </si>
  <si>
    <t>per space</t>
  </si>
  <si>
    <t>Soft Costs (includes financing, fee etc.)</t>
  </si>
  <si>
    <t>of Hard Cost</t>
  </si>
  <si>
    <t>Entrepreneurial Return</t>
  </si>
  <si>
    <t>Unlevered Return on Cost (NOI/Cost)</t>
  </si>
  <si>
    <t>Margin (Value-Cost)</t>
  </si>
  <si>
    <t>Base IDP 2.0 FAR</t>
  </si>
  <si>
    <t>BASE IDP TOTAL</t>
  </si>
  <si>
    <t>Onsite Afford Units @ 50% AMI</t>
  </si>
  <si>
    <t>Cashed Out Units</t>
  </si>
  <si>
    <t xml:space="preserve"> </t>
  </si>
  <si>
    <t>Bonus 3.0 FAR</t>
  </si>
  <si>
    <t>OnSite 70% AMI Affordable Units</t>
  </si>
  <si>
    <t>OnSite Afford Units @ 50% AMI</t>
  </si>
  <si>
    <t>Bonus 4.0 FAR</t>
  </si>
  <si>
    <t>Bonus 5.0 FAR</t>
  </si>
  <si>
    <t>Bonus 6.0 FAR</t>
  </si>
  <si>
    <t>DB TOTAL</t>
  </si>
  <si>
    <t>TOTAL UNITS</t>
  </si>
  <si>
    <t>TOTAL MARKET RATE UNITS</t>
  </si>
  <si>
    <t>ONSITE 70% AMI</t>
  </si>
  <si>
    <t>ONSITE 50% AMI</t>
  </si>
  <si>
    <t>TOTAL ONSITE AFFORDABLE</t>
  </si>
  <si>
    <t>TOTAL CASHED OUT</t>
  </si>
  <si>
    <t>CASH-IN-LIEU</t>
  </si>
  <si>
    <t>MODEL</t>
  </si>
  <si>
    <t>SF LAND</t>
  </si>
  <si>
    <t>RESIDENTIAL SF</t>
  </si>
  <si>
    <t>GROSS SF UNIT</t>
  </si>
  <si>
    <t>AFFORABLE @ 70% AMI</t>
  </si>
  <si>
    <t>AFFORDABLE @ 50% AMI</t>
  </si>
  <si>
    <t>CASHED OUT UNITS</t>
  </si>
  <si>
    <t>OPERATING</t>
  </si>
  <si>
    <t>RENTAL INCOME 70% AMI</t>
  </si>
  <si>
    <t>RENT</t>
  </si>
  <si>
    <t>RENTAL INCOME 50% AMI</t>
  </si>
  <si>
    <t>RENTAL INCOME MARKET</t>
  </si>
  <si>
    <t>PARKING INCOME</t>
  </si>
  <si>
    <t>VACANCY</t>
  </si>
  <si>
    <t>OPERATING COSTS</t>
  </si>
  <si>
    <t>NET OPERATING INCOME</t>
  </si>
  <si>
    <t>DEVELOPMENT</t>
  </si>
  <si>
    <t>CONSTRUCTION</t>
  </si>
  <si>
    <t>LAND</t>
  </si>
  <si>
    <t>SOFT</t>
  </si>
  <si>
    <t>TOTAL</t>
  </si>
  <si>
    <t>PER UNIT</t>
  </si>
  <si>
    <t>RETURN: NET INCOME/COST</t>
  </si>
  <si>
    <t>BASE IDP</t>
  </si>
  <si>
    <t>SF</t>
  </si>
  <si>
    <t>UNITS</t>
  </si>
  <si>
    <t>BONUS</t>
  </si>
  <si>
    <t>AFFORD RATE BONUS BUILDINGS</t>
  </si>
  <si>
    <t>AFFORD RATE ALL</t>
  </si>
  <si>
    <t>Assumptions</t>
  </si>
  <si>
    <t>N/A</t>
  </si>
  <si>
    <t>Total Units</t>
  </si>
  <si>
    <t>General</t>
  </si>
  <si>
    <t>IDP AMI</t>
  </si>
  <si>
    <t>Density AMI</t>
  </si>
  <si>
    <t>Density Bonus FAR</t>
  </si>
  <si>
    <t>Income and Expenses</t>
  </si>
  <si>
    <t>Market Rent/SF</t>
  </si>
  <si>
    <t>IDP Rent/SF</t>
  </si>
  <si>
    <t>Density Rent/SF</t>
  </si>
  <si>
    <t>Operating Costs/Unit</t>
  </si>
  <si>
    <t>Development Costs</t>
  </si>
  <si>
    <t>Land/SF</t>
  </si>
  <si>
    <t>Reserves/Unit</t>
  </si>
  <si>
    <t>Parking Rent/Space</t>
  </si>
  <si>
    <t>Market Vacancy Rate (%)</t>
  </si>
  <si>
    <t>Affordable Vacancy Rate (%)</t>
  </si>
  <si>
    <t>RE Taxes (%)</t>
  </si>
  <si>
    <t>Management Fee (%)</t>
  </si>
  <si>
    <t>Parking/Space</t>
  </si>
  <si>
    <t>Buy Out Cost/Unit</t>
  </si>
  <si>
    <t>Return on Cost (%)</t>
  </si>
  <si>
    <t>Marketing and Sales Costs</t>
  </si>
  <si>
    <t>Brokerage (%)</t>
  </si>
  <si>
    <t>Marketing  (%)</t>
  </si>
  <si>
    <t>AMI</t>
  </si>
  <si>
    <t>Studio</t>
  </si>
  <si>
    <t>One</t>
  </si>
  <si>
    <t>Two</t>
  </si>
  <si>
    <t>Three</t>
  </si>
  <si>
    <t>Rent and Share, By Unit Size</t>
  </si>
  <si>
    <t>Average</t>
  </si>
  <si>
    <t>Avg/SF</t>
  </si>
  <si>
    <t>Market</t>
  </si>
  <si>
    <t>Returns</t>
  </si>
  <si>
    <t>Analysis</t>
  </si>
  <si>
    <t>Building Type</t>
  </si>
  <si>
    <t>Stick over Podium</t>
  </si>
  <si>
    <t>Average Unit Size (GSF)</t>
  </si>
  <si>
    <t>Average Unit Size (NSF)</t>
  </si>
  <si>
    <t>Weighted Rent, by AMI</t>
  </si>
  <si>
    <t>Size</t>
  </si>
  <si>
    <t>Density Bonus Calculation</t>
  </si>
  <si>
    <t>Base Density</t>
  </si>
  <si>
    <t>Bonus Density</t>
  </si>
  <si>
    <t>Sq Footage</t>
  </si>
  <si>
    <t>IDP Units</t>
  </si>
  <si>
    <t>Density Units</t>
  </si>
  <si>
    <t>IDP % of Units</t>
  </si>
  <si>
    <t>Density Bonus Units</t>
  </si>
  <si>
    <t>Total Income Restricted Units</t>
  </si>
  <si>
    <t>Income Restricted as Percent of Total Units</t>
  </si>
  <si>
    <t>Total</t>
  </si>
  <si>
    <t>Partial Unit</t>
  </si>
  <si>
    <t>Rounded Units</t>
  </si>
  <si>
    <t>Rounding Difference</t>
  </si>
  <si>
    <t>IDP Preference</t>
  </si>
  <si>
    <t>Final IDP Units</t>
  </si>
  <si>
    <t>Final Density Units</t>
  </si>
  <si>
    <t>IDP Affordable</t>
  </si>
  <si>
    <t>Density Bonus Affordable</t>
  </si>
  <si>
    <t>Affordable Units</t>
  </si>
  <si>
    <t>Total Development Cost</t>
  </si>
  <si>
    <t>Density Bonus, Base FAR/1.0</t>
  </si>
  <si>
    <t>Base/1.0</t>
  </si>
  <si>
    <t>Varies by Neighborhood</t>
  </si>
  <si>
    <t>Parcel:</t>
  </si>
  <si>
    <t>Underlying Zoning:</t>
  </si>
  <si>
    <t>Density Bonus Percent:</t>
  </si>
  <si>
    <t>Cap Rate</t>
  </si>
  <si>
    <t>Result</t>
  </si>
  <si>
    <t>Market Units</t>
  </si>
  <si>
    <t>Mortgage Interest Rate</t>
  </si>
  <si>
    <t>Incentivized Return on Cost</t>
  </si>
  <si>
    <t>Residential Construction/SF</t>
  </si>
  <si>
    <t>Commercial Construction/SF</t>
  </si>
  <si>
    <t>Soft Costs (% of hard costs)</t>
  </si>
  <si>
    <t>Soft Costs (includes financing, fees etc.)</t>
  </si>
  <si>
    <t>Model</t>
  </si>
  <si>
    <t>Density Bonus % of Units, Base  FAR 1.0</t>
  </si>
  <si>
    <t>Density Bonus % of Units,Base  FAR 2.0</t>
  </si>
  <si>
    <t>Density Bonus AMI 50%</t>
  </si>
  <si>
    <t>Rent/SF (based on share of units)</t>
  </si>
  <si>
    <t>Share of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</si>
</sst>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0_);[Red]\(0\)"/>
    <numFmt numFmtId="168" formatCode="0.00_);[Red]\(0.00\)"/>
    <numFmt numFmtId="169" formatCode="0.0%"/>
    <numFmt numFmtId="170" formatCode="&quot;$&quot;#,##0.00"/>
    <numFmt numFmtId="171" formatCode="&quot;$&quot;#,##0"/>
    <numFmt numFmtId="172" formatCode="&quot;$&quot;#,##0.000"/>
    <numFmt numFmtId="173" formatCode="_(&quot;$&quot;* #,##0_);_(&quot;$&quot;* \(#,##0\);_(&quot;$&quot;* &quot;-&quot;??_);_(@_)"/>
    <numFmt numFmtId="174" formatCode="#,##0.00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3" fillId="0" borderId="0" xfId="0" applyFont="1"/>
    <xf numFmtId="6" fontId="3" fillId="0" borderId="0" xfId="0" applyNumberFormat="1" applyFont="1"/>
    <xf numFmtId="0" fontId="4" fillId="2" borderId="1" xfId="0" applyFont="1" applyFill="1" applyBorder="1"/>
    <xf numFmtId="0" fontId="5" fillId="2" borderId="2" xfId="0" applyFont="1" applyFill="1" applyBorder="1"/>
    <xf numFmtId="0" fontId="6" fillId="3" borderId="2" xfId="0" applyFont="1" applyFill="1" applyBorder="1"/>
    <xf numFmtId="6" fontId="4" fillId="3" borderId="2" xfId="0" applyNumberFormat="1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6" fillId="3" borderId="0" xfId="0" applyFont="1" applyFill="1" applyBorder="1"/>
    <xf numFmtId="6" fontId="4" fillId="3" borderId="0" xfId="0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right"/>
    </xf>
    <xf numFmtId="166" fontId="6" fillId="3" borderId="5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/>
    <xf numFmtId="38" fontId="6" fillId="3" borderId="0" xfId="0" applyNumberFormat="1" applyFont="1" applyFill="1" applyBorder="1" applyAlignment="1">
      <alignment horizontal="right"/>
    </xf>
    <xf numFmtId="167" fontId="7" fillId="3" borderId="5" xfId="0" applyNumberFormat="1" applyFont="1" applyFill="1" applyBorder="1" applyAlignment="1">
      <alignment horizontal="right"/>
    </xf>
    <xf numFmtId="167" fontId="3" fillId="3" borderId="6" xfId="0" applyNumberFormat="1" applyFont="1" applyFill="1" applyBorder="1" applyAlignment="1">
      <alignment horizontal="center"/>
    </xf>
    <xf numFmtId="0" fontId="6" fillId="4" borderId="0" xfId="0" applyFont="1" applyFill="1" applyBorder="1"/>
    <xf numFmtId="0" fontId="3" fillId="4" borderId="0" xfId="0" applyFont="1" applyFill="1" applyBorder="1"/>
    <xf numFmtId="3" fontId="6" fillId="4" borderId="5" xfId="3" applyNumberFormat="1" applyFont="1" applyFill="1" applyBorder="1"/>
    <xf numFmtId="0" fontId="3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2" borderId="8" xfId="0" applyFont="1" applyFill="1" applyBorder="1"/>
    <xf numFmtId="0" fontId="5" fillId="2" borderId="0" xfId="0" applyFont="1" applyFill="1" applyBorder="1"/>
    <xf numFmtId="6" fontId="4" fillId="3" borderId="0" xfId="0" applyNumberFormat="1" applyFont="1" applyFill="1" applyBorder="1"/>
    <xf numFmtId="1" fontId="6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0" fontId="3" fillId="0" borderId="0" xfId="0" applyFont="1" applyBorder="1"/>
    <xf numFmtId="165" fontId="6" fillId="3" borderId="0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3" fillId="2" borderId="10" xfId="0" applyFont="1" applyFill="1" applyBorder="1"/>
    <xf numFmtId="0" fontId="6" fillId="0" borderId="0" xfId="0" applyFont="1" applyBorder="1"/>
    <xf numFmtId="0" fontId="6" fillId="3" borderId="0" xfId="0" applyFont="1" applyFill="1" applyBorder="1" applyAlignment="1">
      <alignment horizontal="right"/>
    </xf>
    <xf numFmtId="0" fontId="3" fillId="0" borderId="8" xfId="0" applyFont="1" applyBorder="1"/>
    <xf numFmtId="167" fontId="6" fillId="3" borderId="5" xfId="0" applyNumberFormat="1" applyFont="1" applyFill="1" applyBorder="1" applyAlignment="1">
      <alignment horizontal="right"/>
    </xf>
    <xf numFmtId="167" fontId="3" fillId="0" borderId="0" xfId="0" applyNumberFormat="1" applyFont="1"/>
    <xf numFmtId="6" fontId="6" fillId="3" borderId="0" xfId="0" applyNumberFormat="1" applyFont="1" applyFill="1" applyBorder="1" applyAlignment="1">
      <alignment horizontal="right"/>
    </xf>
    <xf numFmtId="168" fontId="6" fillId="3" borderId="5" xfId="0" applyNumberFormat="1" applyFont="1" applyFill="1" applyBorder="1" applyAlignment="1">
      <alignment horizontal="right"/>
    </xf>
    <xf numFmtId="3" fontId="7" fillId="4" borderId="5" xfId="3" applyNumberFormat="1" applyFont="1" applyFill="1" applyBorder="1"/>
    <xf numFmtId="1" fontId="3" fillId="0" borderId="0" xfId="0" applyNumberFormat="1" applyFont="1"/>
    <xf numFmtId="0" fontId="6" fillId="0" borderId="0" xfId="0" applyFont="1" applyFill="1" applyBorder="1"/>
    <xf numFmtId="9" fontId="6" fillId="4" borderId="5" xfId="3" applyNumberFormat="1" applyFont="1" applyFill="1" applyBorder="1"/>
    <xf numFmtId="9" fontId="6" fillId="4" borderId="5" xfId="3" applyFont="1" applyFill="1" applyBorder="1"/>
    <xf numFmtId="6" fontId="6" fillId="4" borderId="5" xfId="0" applyNumberFormat="1" applyFont="1" applyFill="1" applyBorder="1"/>
    <xf numFmtId="0" fontId="3" fillId="0" borderId="0" xfId="0" applyFont="1" applyFill="1" applyBorder="1"/>
    <xf numFmtId="10" fontId="6" fillId="0" borderId="5" xfId="0" applyNumberFormat="1" applyFont="1" applyFill="1" applyBorder="1"/>
    <xf numFmtId="0" fontId="6" fillId="5" borderId="0" xfId="0" applyFont="1" applyFill="1" applyBorder="1"/>
    <xf numFmtId="0" fontId="3" fillId="5" borderId="0" xfId="0" applyFont="1" applyFill="1" applyBorder="1"/>
    <xf numFmtId="169" fontId="6" fillId="5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169" fontId="6" fillId="3" borderId="11" xfId="0" applyNumberFormat="1" applyFont="1" applyFill="1" applyBorder="1"/>
    <xf numFmtId="170" fontId="6" fillId="5" borderId="0" xfId="0" applyNumberFormat="1" applyFont="1" applyFill="1" applyBorder="1"/>
    <xf numFmtId="6" fontId="3" fillId="5" borderId="5" xfId="0" applyNumberFormat="1" applyFont="1" applyFill="1" applyBorder="1"/>
    <xf numFmtId="6" fontId="6" fillId="0" borderId="5" xfId="0" applyNumberFormat="1" applyFont="1" applyFill="1" applyBorder="1"/>
    <xf numFmtId="0" fontId="8" fillId="0" borderId="1" xfId="0" applyFont="1" applyBorder="1"/>
    <xf numFmtId="0" fontId="3" fillId="0" borderId="2" xfId="0" applyFont="1" applyFill="1" applyBorder="1"/>
    <xf numFmtId="6" fontId="3" fillId="0" borderId="3" xfId="0" applyNumberFormat="1" applyFont="1" applyFill="1" applyBorder="1"/>
    <xf numFmtId="0" fontId="9" fillId="0" borderId="8" xfId="0" applyFont="1" applyBorder="1" applyAlignment="1"/>
    <xf numFmtId="0" fontId="9" fillId="0" borderId="12" xfId="0" applyFont="1" applyFill="1" applyBorder="1" applyAlignment="1">
      <alignment wrapText="1"/>
    </xf>
    <xf numFmtId="0" fontId="10" fillId="0" borderId="12" xfId="0" applyFont="1" applyFill="1" applyBorder="1" applyAlignment="1">
      <alignment horizontal="right" wrapText="1"/>
    </xf>
    <xf numFmtId="6" fontId="10" fillId="0" borderId="13" xfId="0" applyNumberFormat="1" applyFont="1" applyFill="1" applyBorder="1" applyAlignment="1">
      <alignment horizontal="right" wrapText="1"/>
    </xf>
    <xf numFmtId="167" fontId="3" fillId="0" borderId="0" xfId="0" applyNumberFormat="1" applyFont="1" applyBorder="1"/>
    <xf numFmtId="3" fontId="3" fillId="0" borderId="0" xfId="0" applyNumberFormat="1" applyFont="1" applyFill="1" applyBorder="1"/>
    <xf numFmtId="171" fontId="3" fillId="0" borderId="0" xfId="0" applyNumberFormat="1" applyFont="1" applyFill="1" applyBorder="1"/>
    <xf numFmtId="170" fontId="3" fillId="3" borderId="0" xfId="0" applyNumberFormat="1" applyFont="1" applyFill="1" applyBorder="1"/>
    <xf numFmtId="6" fontId="3" fillId="0" borderId="5" xfId="0" applyNumberFormat="1" applyFont="1" applyFill="1" applyBorder="1"/>
    <xf numFmtId="9" fontId="3" fillId="0" borderId="0" xfId="0" applyNumberFormat="1" applyFont="1" applyFill="1" applyBorder="1"/>
    <xf numFmtId="172" fontId="3" fillId="0" borderId="0" xfId="0" applyNumberFormat="1" applyFont="1" applyFill="1" applyBorder="1"/>
    <xf numFmtId="170" fontId="3" fillId="0" borderId="0" xfId="0" applyNumberFormat="1" applyFont="1" applyFill="1" applyBorder="1"/>
    <xf numFmtId="0" fontId="3" fillId="0" borderId="12" xfId="0" applyFont="1" applyFill="1" applyBorder="1"/>
    <xf numFmtId="3" fontId="3" fillId="0" borderId="12" xfId="0" applyNumberFormat="1" applyFont="1" applyFill="1" applyBorder="1"/>
    <xf numFmtId="171" fontId="3" fillId="0" borderId="12" xfId="0" applyNumberFormat="1" applyFont="1" applyFill="1" applyBorder="1"/>
    <xf numFmtId="6" fontId="3" fillId="0" borderId="13" xfId="0" applyNumberFormat="1" applyFont="1" applyFill="1" applyBorder="1"/>
    <xf numFmtId="9" fontId="3" fillId="0" borderId="0" xfId="3" applyFont="1" applyFill="1" applyBorder="1"/>
    <xf numFmtId="0" fontId="8" fillId="0" borderId="8" xfId="0" applyFont="1" applyBorder="1"/>
    <xf numFmtId="169" fontId="3" fillId="0" borderId="0" xfId="3" applyNumberFormat="1" applyFont="1" applyFill="1" applyBorder="1"/>
    <xf numFmtId="169" fontId="3" fillId="0" borderId="12" xfId="3" applyNumberFormat="1" applyFont="1" applyFill="1" applyBorder="1"/>
    <xf numFmtId="0" fontId="3" fillId="0" borderId="8" xfId="0" applyFont="1" applyFill="1" applyBorder="1"/>
    <xf numFmtId="0" fontId="3" fillId="0" borderId="0" xfId="0" applyFont="1" applyFill="1"/>
    <xf numFmtId="6" fontId="6" fillId="0" borderId="0" xfId="0" applyNumberFormat="1" applyFont="1" applyFill="1" applyBorder="1" applyAlignment="1">
      <alignment horizontal="right"/>
    </xf>
    <xf numFmtId="168" fontId="6" fillId="0" borderId="5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left"/>
    </xf>
    <xf numFmtId="9" fontId="3" fillId="0" borderId="12" xfId="3" applyFont="1" applyFill="1" applyBorder="1"/>
    <xf numFmtId="173" fontId="3" fillId="0" borderId="1" xfId="2" applyNumberFormat="1" applyFont="1" applyBorder="1"/>
    <xf numFmtId="0" fontId="3" fillId="0" borderId="3" xfId="0" applyFont="1" applyBorder="1"/>
    <xf numFmtId="173" fontId="3" fillId="0" borderId="8" xfId="2" applyNumberFormat="1" applyFont="1" applyBorder="1"/>
    <xf numFmtId="0" fontId="3" fillId="0" borderId="5" xfId="0" applyFont="1" applyBorder="1"/>
    <xf numFmtId="44" fontId="3" fillId="0" borderId="8" xfId="0" applyNumberFormat="1" applyFont="1" applyBorder="1"/>
    <xf numFmtId="0" fontId="3" fillId="0" borderId="0" xfId="0" applyFont="1" applyFill="1" applyBorder="1" applyAlignment="1">
      <alignment horizontal="right"/>
    </xf>
    <xf numFmtId="10" fontId="3" fillId="0" borderId="0" xfId="3" applyNumberFormat="1" applyFont="1" applyFill="1" applyBorder="1"/>
    <xf numFmtId="169" fontId="3" fillId="0" borderId="9" xfId="3" applyNumberFormat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2" xfId="0" applyFont="1" applyFill="1" applyBorder="1" applyAlignment="1">
      <alignment horizontal="right"/>
    </xf>
    <xf numFmtId="6" fontId="3" fillId="3" borderId="11" xfId="0" applyNumberFormat="1" applyFont="1" applyFill="1" applyBorder="1"/>
    <xf numFmtId="0" fontId="5" fillId="0" borderId="8" xfId="0" applyFont="1" applyBorder="1"/>
    <xf numFmtId="0" fontId="3" fillId="0" borderId="9" xfId="0" applyFont="1" applyBorder="1"/>
    <xf numFmtId="0" fontId="3" fillId="0" borderId="10" xfId="0" applyFont="1" applyFill="1" applyBorder="1"/>
    <xf numFmtId="0" fontId="3" fillId="0" borderId="10" xfId="0" applyFont="1" applyBorder="1"/>
    <xf numFmtId="6" fontId="3" fillId="0" borderId="14" xfId="0" applyNumberFormat="1" applyFont="1" applyFill="1" applyBorder="1"/>
    <xf numFmtId="0" fontId="11" fillId="3" borderId="4" xfId="0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1" fontId="11" fillId="3" borderId="6" xfId="0" applyNumberFormat="1" applyFont="1" applyFill="1" applyBorder="1" applyAlignment="1">
      <alignment horizontal="center"/>
    </xf>
    <xf numFmtId="9" fontId="11" fillId="3" borderId="7" xfId="3" applyFont="1" applyFill="1" applyBorder="1" applyAlignment="1">
      <alignment horizontal="center"/>
    </xf>
    <xf numFmtId="3" fontId="3" fillId="0" borderId="0" xfId="0" applyNumberFormat="1" applyFont="1"/>
    <xf numFmtId="166" fontId="7" fillId="3" borderId="5" xfId="0" applyNumberFormat="1" applyFont="1" applyFill="1" applyBorder="1" applyAlignment="1">
      <alignment horizontal="right"/>
    </xf>
    <xf numFmtId="167" fontId="3" fillId="3" borderId="4" xfId="0" applyNumberFormat="1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6" fontId="3" fillId="0" borderId="0" xfId="0" applyNumberFormat="1" applyFont="1" applyFill="1" applyBorder="1"/>
    <xf numFmtId="0" fontId="3" fillId="6" borderId="0" xfId="0" applyFont="1" applyFill="1" applyBorder="1"/>
    <xf numFmtId="6" fontId="3" fillId="6" borderId="0" xfId="0" applyNumberFormat="1" applyFont="1" applyFill="1" applyBorder="1"/>
    <xf numFmtId="0" fontId="12" fillId="0" borderId="0" xfId="0" applyFont="1"/>
    <xf numFmtId="0" fontId="11" fillId="0" borderId="0" xfId="0" applyFont="1"/>
    <xf numFmtId="38" fontId="12" fillId="0" borderId="0" xfId="0" applyNumberFormat="1" applyFont="1"/>
    <xf numFmtId="167" fontId="3" fillId="3" borderId="4" xfId="0" applyNumberFormat="1" applyFont="1" applyFill="1" applyBorder="1"/>
    <xf numFmtId="0" fontId="3" fillId="3" borderId="6" xfId="0" applyFont="1" applyFill="1" applyBorder="1"/>
    <xf numFmtId="1" fontId="3" fillId="3" borderId="6" xfId="0" applyNumberFormat="1" applyFont="1" applyFill="1" applyBorder="1"/>
    <xf numFmtId="1" fontId="3" fillId="3" borderId="7" xfId="0" applyNumberFormat="1" applyFont="1" applyFill="1" applyBorder="1"/>
    <xf numFmtId="9" fontId="12" fillId="0" borderId="0" xfId="3" applyFont="1"/>
    <xf numFmtId="6" fontId="12" fillId="0" borderId="0" xfId="0" applyNumberFormat="1" applyFont="1"/>
    <xf numFmtId="0" fontId="13" fillId="0" borderId="16" xfId="0" applyFont="1" applyBorder="1"/>
    <xf numFmtId="0" fontId="12" fillId="0" borderId="16" xfId="0" applyFont="1" applyBorder="1"/>
    <xf numFmtId="0" fontId="12" fillId="0" borderId="16" xfId="0" applyFont="1" applyBorder="1" applyAlignment="1">
      <alignment horizontal="center"/>
    </xf>
    <xf numFmtId="0" fontId="13" fillId="0" borderId="0" xfId="0" applyFont="1"/>
    <xf numFmtId="6" fontId="13" fillId="0" borderId="0" xfId="0" applyNumberFormat="1" applyFont="1"/>
    <xf numFmtId="0" fontId="14" fillId="0" borderId="16" xfId="0" applyFont="1" applyBorder="1"/>
    <xf numFmtId="3" fontId="14" fillId="0" borderId="16" xfId="0" applyNumberFormat="1" applyFont="1" applyBorder="1"/>
    <xf numFmtId="0" fontId="15" fillId="0" borderId="16" xfId="0" applyFont="1" applyBorder="1"/>
    <xf numFmtId="171" fontId="14" fillId="0" borderId="16" xfId="0" applyNumberFormat="1" applyFont="1" applyBorder="1"/>
    <xf numFmtId="0" fontId="14" fillId="0" borderId="16" xfId="0" applyFont="1" applyBorder="1" applyAlignment="1">
      <alignment horizontal="right"/>
    </xf>
    <xf numFmtId="6" fontId="14" fillId="0" borderId="16" xfId="0" applyNumberFormat="1" applyFont="1" applyBorder="1"/>
    <xf numFmtId="169" fontId="15" fillId="0" borderId="16" xfId="3" applyNumberFormat="1" applyFont="1" applyBorder="1"/>
    <xf numFmtId="0" fontId="15" fillId="0" borderId="16" xfId="0" applyFont="1" applyBorder="1" applyAlignment="1">
      <alignment horizontal="center"/>
    </xf>
    <xf numFmtId="169" fontId="11" fillId="0" borderId="0" xfId="3" applyNumberFormat="1" applyFont="1"/>
    <xf numFmtId="1" fontId="0" fillId="0" borderId="0" xfId="0" applyNumberFormat="1"/>
    <xf numFmtId="3" fontId="16" fillId="4" borderId="5" xfId="3" applyNumberFormat="1" applyFont="1" applyFill="1" applyBorder="1"/>
    <xf numFmtId="9" fontId="16" fillId="4" borderId="5" xfId="3" applyNumberFormat="1" applyFont="1" applyFill="1" applyBorder="1"/>
    <xf numFmtId="0" fontId="11" fillId="3" borderId="0" xfId="0" applyFont="1" applyFill="1"/>
    <xf numFmtId="1" fontId="2" fillId="3" borderId="0" xfId="0" applyNumberFormat="1" applyFont="1" applyFill="1" applyAlignment="1">
      <alignment horizontal="center"/>
    </xf>
    <xf numFmtId="3" fontId="12" fillId="3" borderId="0" xfId="0" applyNumberFormat="1" applyFont="1" applyFill="1"/>
    <xf numFmtId="0" fontId="11" fillId="3" borderId="0" xfId="0" applyFont="1" applyFill="1" applyAlignment="1">
      <alignment horizontal="center"/>
    </xf>
    <xf numFmtId="167" fontId="11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1" fontId="3" fillId="3" borderId="0" xfId="0" applyNumberFormat="1" applyFont="1" applyFill="1" applyBorder="1"/>
    <xf numFmtId="3" fontId="0" fillId="0" borderId="0" xfId="0" applyNumberFormat="1"/>
    <xf numFmtId="0" fontId="0" fillId="0" borderId="0" xfId="0" applyBorder="1"/>
    <xf numFmtId="165" fontId="3" fillId="0" borderId="0" xfId="0" applyNumberFormat="1" applyFont="1"/>
    <xf numFmtId="164" fontId="0" fillId="0" borderId="0" xfId="1" applyNumberFormat="1" applyFont="1"/>
    <xf numFmtId="9" fontId="0" fillId="0" borderId="0" xfId="0" applyNumberFormat="1"/>
    <xf numFmtId="0" fontId="2" fillId="0" borderId="0" xfId="0" applyFont="1"/>
    <xf numFmtId="44" fontId="0" fillId="0" borderId="0" xfId="2" applyFont="1"/>
    <xf numFmtId="173" fontId="0" fillId="0" borderId="0" xfId="2" applyNumberFormat="1" applyFont="1"/>
    <xf numFmtId="173" fontId="0" fillId="0" borderId="0" xfId="0" applyNumberFormat="1"/>
    <xf numFmtId="44" fontId="0" fillId="0" borderId="0" xfId="0" applyNumberFormat="1"/>
    <xf numFmtId="2" fontId="0" fillId="0" borderId="0" xfId="0" applyNumberFormat="1"/>
    <xf numFmtId="0" fontId="9" fillId="0" borderId="0" xfId="0" applyFont="1"/>
    <xf numFmtId="0" fontId="18" fillId="0" borderId="0" xfId="0" applyFont="1"/>
    <xf numFmtId="0" fontId="0" fillId="0" borderId="0" xfId="0" applyFont="1"/>
    <xf numFmtId="0" fontId="9" fillId="3" borderId="2" xfId="0" applyFont="1" applyFill="1" applyBorder="1"/>
    <xf numFmtId="6" fontId="10" fillId="3" borderId="2" xfId="0" applyNumberFormat="1" applyFont="1" applyFill="1" applyBorder="1"/>
    <xf numFmtId="0" fontId="18" fillId="3" borderId="2" xfId="0" applyFont="1" applyFill="1" applyBorder="1"/>
    <xf numFmtId="0" fontId="10" fillId="3" borderId="2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7" fillId="0" borderId="0" xfId="0" applyFont="1" applyFill="1"/>
    <xf numFmtId="0" fontId="9" fillId="3" borderId="0" xfId="0" applyFont="1" applyFill="1" applyBorder="1"/>
    <xf numFmtId="6" fontId="10" fillId="3" borderId="0" xfId="0" applyNumberFormat="1" applyFont="1" applyFill="1" applyBorder="1"/>
    <xf numFmtId="6" fontId="10" fillId="3" borderId="0" xfId="0" applyNumberFormat="1" applyFont="1" applyFill="1" applyBorder="1" applyAlignment="1">
      <alignment horizontal="right"/>
    </xf>
    <xf numFmtId="1" fontId="9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3" fontId="19" fillId="3" borderId="5" xfId="0" applyNumberFormat="1" applyFont="1" applyFill="1" applyBorder="1" applyAlignment="1">
      <alignment horizontal="right"/>
    </xf>
    <xf numFmtId="0" fontId="18" fillId="0" borderId="0" xfId="0" applyFont="1" applyBorder="1"/>
    <xf numFmtId="165" fontId="9" fillId="3" borderId="0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right"/>
    </xf>
    <xf numFmtId="166" fontId="9" fillId="3" borderId="5" xfId="0" applyNumberFormat="1" applyFont="1" applyFill="1" applyBorder="1" applyAlignment="1">
      <alignment horizontal="right"/>
    </xf>
    <xf numFmtId="1" fontId="0" fillId="0" borderId="0" xfId="0" applyNumberFormat="1" applyFont="1"/>
    <xf numFmtId="0" fontId="9" fillId="0" borderId="0" xfId="0" applyFont="1" applyBorder="1"/>
    <xf numFmtId="0" fontId="18" fillId="3" borderId="0" xfId="0" applyFont="1" applyFill="1" applyBorder="1"/>
    <xf numFmtId="0" fontId="9" fillId="3" borderId="0" xfId="0" applyFont="1" applyFill="1" applyBorder="1" applyAlignment="1">
      <alignment horizontal="right"/>
    </xf>
    <xf numFmtId="38" fontId="9" fillId="3" borderId="0" xfId="0" applyNumberFormat="1" applyFont="1" applyFill="1" applyBorder="1" applyAlignment="1">
      <alignment horizontal="right"/>
    </xf>
    <xf numFmtId="167" fontId="9" fillId="3" borderId="5" xfId="0" applyNumberFormat="1" applyFont="1" applyFill="1" applyBorder="1" applyAlignment="1">
      <alignment horizontal="right"/>
    </xf>
    <xf numFmtId="167" fontId="18" fillId="0" borderId="0" xfId="0" applyNumberFormat="1" applyFont="1"/>
    <xf numFmtId="6" fontId="9" fillId="3" borderId="0" xfId="0" applyNumberFormat="1" applyFont="1" applyFill="1" applyBorder="1" applyAlignment="1">
      <alignment horizontal="right"/>
    </xf>
    <xf numFmtId="168" fontId="9" fillId="3" borderId="5" xfId="0" applyNumberFormat="1" applyFont="1" applyFill="1" applyBorder="1" applyAlignment="1">
      <alignment horizontal="right"/>
    </xf>
    <xf numFmtId="164" fontId="18" fillId="0" borderId="0" xfId="1" applyNumberFormat="1" applyFont="1"/>
    <xf numFmtId="3" fontId="0" fillId="0" borderId="0" xfId="0" applyNumberFormat="1" applyFont="1"/>
    <xf numFmtId="0" fontId="9" fillId="4" borderId="0" xfId="0" applyFont="1" applyFill="1" applyBorder="1"/>
    <xf numFmtId="0" fontId="18" fillId="4" borderId="0" xfId="0" applyFont="1" applyFill="1" applyBorder="1"/>
    <xf numFmtId="1" fontId="18" fillId="0" borderId="0" xfId="0" applyNumberFormat="1" applyFont="1"/>
    <xf numFmtId="0" fontId="9" fillId="0" borderId="0" xfId="0" applyFont="1" applyFill="1" applyBorder="1"/>
    <xf numFmtId="3" fontId="9" fillId="4" borderId="5" xfId="3" applyNumberFormat="1" applyFont="1" applyFill="1" applyBorder="1"/>
    <xf numFmtId="9" fontId="9" fillId="4" borderId="5" xfId="3" applyFont="1" applyFill="1" applyBorder="1"/>
    <xf numFmtId="6" fontId="9" fillId="4" borderId="5" xfId="0" applyNumberFormat="1" applyFont="1" applyFill="1" applyBorder="1"/>
    <xf numFmtId="0" fontId="18" fillId="0" borderId="0" xfId="0" applyFont="1" applyFill="1" applyBorder="1"/>
    <xf numFmtId="10" fontId="9" fillId="0" borderId="5" xfId="0" applyNumberFormat="1" applyFont="1" applyFill="1" applyBorder="1"/>
    <xf numFmtId="0" fontId="9" fillId="5" borderId="0" xfId="0" applyFont="1" applyFill="1" applyBorder="1"/>
    <xf numFmtId="0" fontId="18" fillId="5" borderId="0" xfId="0" applyFont="1" applyFill="1" applyBorder="1"/>
    <xf numFmtId="169" fontId="9" fillId="5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6" fontId="9" fillId="0" borderId="5" xfId="0" applyNumberFormat="1" applyFont="1" applyFill="1" applyBorder="1"/>
    <xf numFmtId="0" fontId="20" fillId="0" borderId="1" xfId="0" applyFont="1" applyBorder="1"/>
    <xf numFmtId="0" fontId="18" fillId="0" borderId="2" xfId="0" applyFont="1" applyFill="1" applyBorder="1"/>
    <xf numFmtId="6" fontId="18" fillId="0" borderId="3" xfId="0" applyNumberFormat="1" applyFont="1" applyFill="1" applyBorder="1"/>
    <xf numFmtId="167" fontId="18" fillId="0" borderId="0" xfId="0" applyNumberFormat="1" applyFont="1" applyBorder="1"/>
    <xf numFmtId="3" fontId="18" fillId="0" borderId="0" xfId="0" applyNumberFormat="1" applyFont="1" applyFill="1" applyBorder="1"/>
    <xf numFmtId="171" fontId="18" fillId="0" borderId="0" xfId="0" applyNumberFormat="1" applyFont="1" applyFill="1" applyBorder="1"/>
    <xf numFmtId="170" fontId="18" fillId="0" borderId="0" xfId="0" applyNumberFormat="1" applyFont="1" applyFill="1" applyBorder="1"/>
    <xf numFmtId="6" fontId="18" fillId="0" borderId="5" xfId="0" applyNumberFormat="1" applyFont="1" applyFill="1" applyBorder="1"/>
    <xf numFmtId="9" fontId="18" fillId="0" borderId="0" xfId="0" applyNumberFormat="1" applyFont="1" applyFill="1" applyBorder="1"/>
    <xf numFmtId="0" fontId="18" fillId="0" borderId="12" xfId="0" applyFont="1" applyFill="1" applyBorder="1"/>
    <xf numFmtId="3" fontId="18" fillId="0" borderId="12" xfId="0" applyNumberFormat="1" applyFont="1" applyFill="1" applyBorder="1"/>
    <xf numFmtId="171" fontId="18" fillId="0" borderId="12" xfId="0" applyNumberFormat="1" applyFont="1" applyFill="1" applyBorder="1"/>
    <xf numFmtId="6" fontId="18" fillId="0" borderId="13" xfId="0" applyNumberFormat="1" applyFont="1" applyFill="1" applyBorder="1"/>
    <xf numFmtId="9" fontId="18" fillId="0" borderId="0" xfId="3" applyFont="1" applyFill="1" applyBorder="1"/>
    <xf numFmtId="0" fontId="20" fillId="0" borderId="8" xfId="0" applyFont="1" applyBorder="1"/>
    <xf numFmtId="169" fontId="18" fillId="0" borderId="0" xfId="3" applyNumberFormat="1" applyFont="1" applyFill="1" applyBorder="1"/>
    <xf numFmtId="169" fontId="18" fillId="0" borderId="12" xfId="3" applyNumberFormat="1" applyFont="1" applyFill="1" applyBorder="1"/>
    <xf numFmtId="0" fontId="18" fillId="0" borderId="0" xfId="0" applyFont="1" applyFill="1"/>
    <xf numFmtId="6" fontId="9" fillId="0" borderId="0" xfId="0" applyNumberFormat="1" applyFont="1" applyFill="1" applyBorder="1" applyAlignment="1">
      <alignment horizontal="right"/>
    </xf>
    <xf numFmtId="0" fontId="18" fillId="0" borderId="12" xfId="0" applyFont="1" applyFill="1" applyBorder="1" applyAlignment="1">
      <alignment horizontal="left"/>
    </xf>
    <xf numFmtId="9" fontId="18" fillId="0" borderId="12" xfId="3" applyFont="1" applyFill="1" applyBorder="1"/>
    <xf numFmtId="0" fontId="18" fillId="0" borderId="8" xfId="0" applyFont="1" applyBorder="1"/>
    <xf numFmtId="0" fontId="18" fillId="0" borderId="0" xfId="0" applyFont="1" applyFill="1" applyBorder="1" applyAlignment="1">
      <alignment horizontal="right"/>
    </xf>
    <xf numFmtId="10" fontId="18" fillId="0" borderId="0" xfId="3" applyNumberFormat="1" applyFont="1" applyFill="1" applyBorder="1"/>
    <xf numFmtId="0" fontId="18" fillId="0" borderId="12" xfId="0" applyFont="1" applyFill="1" applyBorder="1" applyAlignment="1">
      <alignment horizontal="right"/>
    </xf>
    <xf numFmtId="0" fontId="18" fillId="0" borderId="10" xfId="0" applyFont="1" applyFill="1" applyBorder="1"/>
    <xf numFmtId="0" fontId="18" fillId="0" borderId="10" xfId="0" applyFont="1" applyBorder="1"/>
    <xf numFmtId="6" fontId="18" fillId="0" borderId="14" xfId="0" applyNumberFormat="1" applyFont="1" applyFill="1" applyBorder="1"/>
    <xf numFmtId="4" fontId="0" fillId="0" borderId="0" xfId="0" applyNumberFormat="1"/>
    <xf numFmtId="9" fontId="9" fillId="4" borderId="0" xfId="0" applyNumberFormat="1" applyFont="1" applyFill="1" applyBorder="1"/>
    <xf numFmtId="169" fontId="9" fillId="4" borderId="5" xfId="3" applyNumberFormat="1" applyFont="1" applyFill="1" applyBorder="1"/>
    <xf numFmtId="168" fontId="9" fillId="0" borderId="0" xfId="0" applyNumberFormat="1" applyFont="1" applyFill="1" applyBorder="1" applyAlignment="1">
      <alignment horizontal="right"/>
    </xf>
    <xf numFmtId="6" fontId="18" fillId="0" borderId="0" xfId="0" applyNumberFormat="1" applyFont="1" applyBorder="1"/>
    <xf numFmtId="0" fontId="0" fillId="0" borderId="0" xfId="0" applyAlignment="1">
      <alignment horizontal="center" wrapText="1"/>
    </xf>
    <xf numFmtId="9" fontId="0" fillId="0" borderId="0" xfId="3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44" fontId="0" fillId="0" borderId="0" xfId="0" applyNumberFormat="1" applyAlignment="1">
      <alignment horizontal="center" wrapText="1"/>
    </xf>
    <xf numFmtId="173" fontId="0" fillId="0" borderId="0" xfId="2" applyNumberFormat="1" applyFont="1" applyAlignment="1">
      <alignment horizontal="center" wrapText="1"/>
    </xf>
    <xf numFmtId="169" fontId="0" fillId="0" borderId="0" xfId="3" applyNumberFormat="1" applyFont="1" applyAlignment="1">
      <alignment horizontal="center" wrapText="1"/>
    </xf>
    <xf numFmtId="169" fontId="0" fillId="0" borderId="0" xfId="0" applyNumberFormat="1" applyAlignment="1">
      <alignment horizontal="center" wrapText="1"/>
    </xf>
    <xf numFmtId="9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0" fontId="2" fillId="3" borderId="0" xfId="0" applyFont="1" applyFill="1"/>
    <xf numFmtId="10" fontId="9" fillId="3" borderId="11" xfId="0" applyNumberFormat="1" applyFont="1" applyFill="1" applyBorder="1"/>
    <xf numFmtId="8" fontId="18" fillId="0" borderId="0" xfId="0" applyNumberFormat="1" applyFont="1"/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174" fontId="0" fillId="0" borderId="0" xfId="0" applyNumberFormat="1"/>
    <xf numFmtId="4" fontId="18" fillId="0" borderId="0" xfId="0" applyNumberFormat="1" applyFont="1" applyFill="1" applyBorder="1"/>
    <xf numFmtId="0" fontId="9" fillId="2" borderId="1" xfId="0" applyFont="1" applyFill="1" applyBorder="1"/>
    <xf numFmtId="0" fontId="9" fillId="2" borderId="8" xfId="0" applyFont="1" applyFill="1" applyBorder="1"/>
    <xf numFmtId="0" fontId="18" fillId="2" borderId="9" xfId="0" applyFont="1" applyFill="1" applyBorder="1"/>
    <xf numFmtId="0" fontId="18" fillId="0" borderId="8" xfId="0" applyFont="1" applyFill="1" applyBorder="1"/>
    <xf numFmtId="9" fontId="18" fillId="0" borderId="8" xfId="0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/>
    <xf numFmtId="0" fontId="0" fillId="0" borderId="0" xfId="0" applyFont="1" applyBorder="1"/>
    <xf numFmtId="10" fontId="0" fillId="0" borderId="0" xfId="0" applyNumberFormat="1" applyBorder="1"/>
    <xf numFmtId="8" fontId="0" fillId="0" borderId="0" xfId="0" applyNumberFormat="1" applyFont="1" applyBorder="1"/>
    <xf numFmtId="8" fontId="18" fillId="0" borderId="0" xfId="0" applyNumberFormat="1" applyFont="1" applyBorder="1"/>
    <xf numFmtId="171" fontId="0" fillId="0" borderId="0" xfId="0" applyNumberFormat="1" applyBorder="1"/>
    <xf numFmtId="173" fontId="3" fillId="0" borderId="0" xfId="2" applyNumberFormat="1" applyFont="1" applyBorder="1"/>
    <xf numFmtId="173" fontId="3" fillId="0" borderId="0" xfId="0" applyNumberFormat="1" applyFont="1" applyBorder="1"/>
    <xf numFmtId="169" fontId="3" fillId="0" borderId="0" xfId="3" applyNumberFormat="1" applyFont="1" applyBorder="1"/>
    <xf numFmtId="0" fontId="9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selection activeCell="F21" sqref="F21"/>
    </sheetView>
  </sheetViews>
  <sheetFormatPr defaultRowHeight="15" x14ac:dyDescent="0.25"/>
  <cols>
    <col min="1" max="1" width="27.85546875" customWidth="1"/>
    <col min="2" max="2" width="20.42578125" style="238" customWidth="1"/>
    <col min="5" max="5" width="12.7109375" customWidth="1"/>
    <col min="8" max="8" width="13" customWidth="1"/>
    <col min="9" max="13" width="10.5703125" bestFit="1" customWidth="1"/>
  </cols>
  <sheetData>
    <row r="1" spans="1:14" x14ac:dyDescent="0.25">
      <c r="A1" s="155" t="s">
        <v>143</v>
      </c>
      <c r="E1" t="s">
        <v>184</v>
      </c>
      <c r="H1" t="s">
        <v>174</v>
      </c>
    </row>
    <row r="2" spans="1:14" ht="60" x14ac:dyDescent="0.25">
      <c r="A2" t="s">
        <v>179</v>
      </c>
      <c r="B2" s="238" t="s">
        <v>207</v>
      </c>
      <c r="E2" t="s">
        <v>169</v>
      </c>
      <c r="F2" s="252" t="s">
        <v>226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175</v>
      </c>
      <c r="N2" t="s">
        <v>176</v>
      </c>
    </row>
    <row r="3" spans="1:14" x14ac:dyDescent="0.25">
      <c r="E3" s="154">
        <v>0.3</v>
      </c>
      <c r="F3" s="159">
        <f t="shared" ref="F3:F13" si="0">((I$17*I3)+(J$17*J3)+(K$17*K3)+(L$17*L3))/B$12</f>
        <v>0.6882301438399</v>
      </c>
      <c r="H3" s="154">
        <v>0.3</v>
      </c>
      <c r="I3" s="157">
        <v>456</v>
      </c>
      <c r="J3" s="157">
        <v>532</v>
      </c>
      <c r="K3" s="157">
        <v>608</v>
      </c>
      <c r="L3" s="157">
        <v>684</v>
      </c>
      <c r="M3" s="158">
        <f>+AVERAGE(I3:L3)</f>
        <v>570</v>
      </c>
      <c r="N3" s="156">
        <f t="shared" ref="N3:N13" si="1">+M3/B$12</f>
        <v>0.71294559099437149</v>
      </c>
    </row>
    <row r="4" spans="1:14" x14ac:dyDescent="0.25">
      <c r="A4" s="155" t="s">
        <v>146</v>
      </c>
      <c r="E4" s="154">
        <v>0.4</v>
      </c>
      <c r="F4" s="159">
        <f t="shared" si="0"/>
        <v>0.91799874921826152</v>
      </c>
      <c r="H4" s="154">
        <v>0.4</v>
      </c>
      <c r="I4" s="157">
        <v>608</v>
      </c>
      <c r="J4" s="157">
        <v>710</v>
      </c>
      <c r="K4" s="157">
        <v>811</v>
      </c>
      <c r="L4" s="157">
        <v>912</v>
      </c>
      <c r="M4" s="158">
        <f t="shared" ref="M4:M13" si="2">+AVERAGE(I4:L4)</f>
        <v>760.25</v>
      </c>
      <c r="N4" s="156">
        <f t="shared" si="1"/>
        <v>0.95090681676047528</v>
      </c>
    </row>
    <row r="5" spans="1:14" x14ac:dyDescent="0.25">
      <c r="A5" t="s">
        <v>147</v>
      </c>
      <c r="B5" s="239">
        <v>0.7</v>
      </c>
      <c r="E5" s="154">
        <v>0.5</v>
      </c>
      <c r="F5" s="159">
        <f t="shared" si="0"/>
        <v>1.1470293933708566</v>
      </c>
      <c r="H5" s="154">
        <v>0.5</v>
      </c>
      <c r="I5" s="157">
        <v>760</v>
      </c>
      <c r="J5" s="157">
        <v>887</v>
      </c>
      <c r="K5" s="157">
        <v>1013</v>
      </c>
      <c r="L5" s="157">
        <v>1140</v>
      </c>
      <c r="M5" s="158">
        <f t="shared" si="2"/>
        <v>950</v>
      </c>
      <c r="N5" s="156">
        <f t="shared" si="1"/>
        <v>1.1882426516572857</v>
      </c>
    </row>
    <row r="6" spans="1:14" x14ac:dyDescent="0.25">
      <c r="A6" t="s">
        <v>192</v>
      </c>
      <c r="B6" s="239">
        <v>0.13</v>
      </c>
      <c r="E6" s="154">
        <v>0.6</v>
      </c>
      <c r="F6" s="159">
        <f t="shared" si="0"/>
        <v>1.3772732958098812</v>
      </c>
      <c r="H6" s="154">
        <v>0.6</v>
      </c>
      <c r="I6" s="157">
        <v>913</v>
      </c>
      <c r="J6" s="157">
        <v>1065</v>
      </c>
      <c r="K6" s="157">
        <v>1216</v>
      </c>
      <c r="L6" s="157">
        <v>1369</v>
      </c>
      <c r="M6" s="158">
        <f t="shared" si="2"/>
        <v>1140.75</v>
      </c>
      <c r="N6" s="156">
        <f t="shared" si="1"/>
        <v>1.4268292682926829</v>
      </c>
    </row>
    <row r="7" spans="1:14" x14ac:dyDescent="0.25">
      <c r="A7" t="s">
        <v>148</v>
      </c>
      <c r="B7" s="239">
        <v>0.5</v>
      </c>
      <c r="E7" s="154">
        <v>0.7</v>
      </c>
      <c r="F7" s="159">
        <f t="shared" si="0"/>
        <v>1.6067041901188241</v>
      </c>
      <c r="H7" s="154">
        <v>0.7</v>
      </c>
      <c r="I7" s="157">
        <v>1065</v>
      </c>
      <c r="J7" s="157">
        <v>1242</v>
      </c>
      <c r="K7" s="157">
        <v>1419</v>
      </c>
      <c r="L7" s="157">
        <v>1597</v>
      </c>
      <c r="M7" s="158">
        <f t="shared" si="2"/>
        <v>1330.75</v>
      </c>
      <c r="N7" s="156">
        <f t="shared" si="1"/>
        <v>1.6644777986241401</v>
      </c>
    </row>
    <row r="8" spans="1:14" x14ac:dyDescent="0.25">
      <c r="A8" t="s">
        <v>149</v>
      </c>
      <c r="B8" s="238" t="s">
        <v>208</v>
      </c>
      <c r="E8" s="154">
        <v>0.8</v>
      </c>
      <c r="F8" s="159">
        <f t="shared" si="0"/>
        <v>1.8358724202626642</v>
      </c>
      <c r="H8" s="154">
        <v>0.8</v>
      </c>
      <c r="I8" s="157">
        <v>1216</v>
      </c>
      <c r="J8" s="157">
        <v>1419</v>
      </c>
      <c r="K8" s="157">
        <v>1622</v>
      </c>
      <c r="L8" s="157">
        <v>1825</v>
      </c>
      <c r="M8" s="158">
        <f t="shared" si="2"/>
        <v>1520.5</v>
      </c>
      <c r="N8" s="156">
        <f t="shared" si="1"/>
        <v>1.9018136335209506</v>
      </c>
    </row>
    <row r="9" spans="1:14" ht="30" x14ac:dyDescent="0.25">
      <c r="A9" s="252" t="s">
        <v>223</v>
      </c>
      <c r="B9" s="239">
        <v>0.2</v>
      </c>
      <c r="E9" s="154">
        <v>0.9</v>
      </c>
      <c r="F9" s="159">
        <f t="shared" si="0"/>
        <v>2.0659036898061287</v>
      </c>
      <c r="H9" s="154">
        <v>0.9</v>
      </c>
      <c r="I9" s="157">
        <v>1369</v>
      </c>
      <c r="J9" s="157">
        <v>1597</v>
      </c>
      <c r="K9" s="157">
        <v>1825</v>
      </c>
      <c r="L9" s="157">
        <v>2053</v>
      </c>
      <c r="M9" s="158">
        <f t="shared" si="2"/>
        <v>1711</v>
      </c>
      <c r="N9" s="156">
        <f t="shared" si="1"/>
        <v>2.1400875547217009</v>
      </c>
    </row>
    <row r="10" spans="1:14" ht="30" x14ac:dyDescent="0.25">
      <c r="A10" s="252" t="s">
        <v>224</v>
      </c>
      <c r="B10" s="253">
        <v>0.25</v>
      </c>
      <c r="E10" s="154">
        <v>1</v>
      </c>
      <c r="F10" s="159">
        <f t="shared" si="0"/>
        <v>2.2949343339587243</v>
      </c>
      <c r="H10" s="154">
        <v>1</v>
      </c>
      <c r="I10" s="157">
        <v>1521</v>
      </c>
      <c r="J10" s="157">
        <v>1774</v>
      </c>
      <c r="K10" s="157">
        <v>2027</v>
      </c>
      <c r="L10" s="157">
        <v>2281</v>
      </c>
      <c r="M10" s="158">
        <f t="shared" si="2"/>
        <v>1900.75</v>
      </c>
      <c r="N10" s="156">
        <f t="shared" si="1"/>
        <v>2.3774233896185115</v>
      </c>
    </row>
    <row r="11" spans="1:14" x14ac:dyDescent="0.25">
      <c r="A11" t="s">
        <v>182</v>
      </c>
      <c r="B11" s="240">
        <f>+B12/0.85</f>
        <v>940.58823529411768</v>
      </c>
      <c r="E11" s="154">
        <v>1.1000000000000001</v>
      </c>
      <c r="F11" s="159">
        <f t="shared" si="0"/>
        <v>2.5241025641025643</v>
      </c>
      <c r="H11" s="154">
        <v>1.1000000000000001</v>
      </c>
      <c r="I11" s="157">
        <v>1672</v>
      </c>
      <c r="J11" s="157">
        <v>1951</v>
      </c>
      <c r="K11" s="157">
        <v>2230</v>
      </c>
      <c r="L11" s="157">
        <v>2509</v>
      </c>
      <c r="M11" s="158">
        <f t="shared" si="2"/>
        <v>2090.5</v>
      </c>
      <c r="N11" s="156">
        <f t="shared" si="1"/>
        <v>2.6147592245153222</v>
      </c>
    </row>
    <row r="12" spans="1:14" x14ac:dyDescent="0.25">
      <c r="A12" t="s">
        <v>183</v>
      </c>
      <c r="B12" s="240">
        <f>+F15</f>
        <v>799.5</v>
      </c>
      <c r="E12" s="154">
        <v>1.2</v>
      </c>
      <c r="F12" s="159">
        <f t="shared" si="0"/>
        <v>2.754133833646029</v>
      </c>
      <c r="H12" s="154">
        <v>1.2</v>
      </c>
      <c r="I12" s="157">
        <v>1825</v>
      </c>
      <c r="J12" s="157">
        <v>2129</v>
      </c>
      <c r="K12" s="157">
        <v>2433</v>
      </c>
      <c r="L12" s="157">
        <v>2737</v>
      </c>
      <c r="M12" s="158">
        <f t="shared" si="2"/>
        <v>2281</v>
      </c>
      <c r="N12" s="156">
        <f t="shared" si="1"/>
        <v>2.8530331457160725</v>
      </c>
    </row>
    <row r="13" spans="1:14" x14ac:dyDescent="0.25">
      <c r="A13" t="s">
        <v>20</v>
      </c>
      <c r="B13" s="238">
        <v>0.5</v>
      </c>
      <c r="E13" t="s">
        <v>177</v>
      </c>
      <c r="F13" s="159">
        <f t="shared" si="0"/>
        <v>3.4110694183864916</v>
      </c>
      <c r="H13" t="s">
        <v>177</v>
      </c>
      <c r="I13" s="157">
        <v>2087</v>
      </c>
      <c r="J13" s="157">
        <v>2538</v>
      </c>
      <c r="K13" s="157">
        <v>2983</v>
      </c>
      <c r="L13" s="157">
        <v>3818</v>
      </c>
      <c r="M13" s="157">
        <f t="shared" si="2"/>
        <v>2856.5</v>
      </c>
      <c r="N13" s="156">
        <f t="shared" si="1"/>
        <v>3.5728580362726703</v>
      </c>
    </row>
    <row r="14" spans="1:14" x14ac:dyDescent="0.25">
      <c r="A14" t="s">
        <v>180</v>
      </c>
      <c r="B14" s="238" t="s">
        <v>181</v>
      </c>
      <c r="E14" s="252"/>
      <c r="F14" s="159"/>
      <c r="H14" s="252"/>
      <c r="I14" s="157"/>
      <c r="J14" s="157"/>
      <c r="K14" s="157"/>
      <c r="L14" s="157"/>
      <c r="M14" s="157"/>
      <c r="N14" s="157"/>
    </row>
    <row r="15" spans="1:14" x14ac:dyDescent="0.25">
      <c r="E15" t="s">
        <v>138</v>
      </c>
      <c r="F15" s="153">
        <f>((I$17*I15)+(J$17*J15)+(K$17*K15)+(L$17*L15))</f>
        <v>799.5</v>
      </c>
      <c r="H15" t="s">
        <v>185</v>
      </c>
      <c r="I15" s="153">
        <v>500</v>
      </c>
      <c r="J15" s="153">
        <v>750</v>
      </c>
      <c r="K15" s="153">
        <v>900</v>
      </c>
      <c r="L15" s="153">
        <v>1200</v>
      </c>
    </row>
    <row r="16" spans="1:14" x14ac:dyDescent="0.25">
      <c r="A16" s="155" t="s">
        <v>150</v>
      </c>
      <c r="J16" s="160"/>
      <c r="K16" s="160"/>
    </row>
    <row r="17" spans="1:12" x14ac:dyDescent="0.25">
      <c r="A17" t="s">
        <v>151</v>
      </c>
      <c r="B17" s="241">
        <f>+F13</f>
        <v>3.4110694183864916</v>
      </c>
      <c r="H17" t="s">
        <v>227</v>
      </c>
      <c r="I17" s="154">
        <v>0.21</v>
      </c>
      <c r="J17" s="154">
        <v>0.27</v>
      </c>
      <c r="K17" s="154">
        <v>0.32</v>
      </c>
      <c r="L17" s="154">
        <v>0.17</v>
      </c>
    </row>
    <row r="18" spans="1:12" x14ac:dyDescent="0.25">
      <c r="A18" t="s">
        <v>152</v>
      </c>
      <c r="B18" s="241">
        <f>+F7</f>
        <v>1.6067041901188241</v>
      </c>
      <c r="J18" s="160"/>
      <c r="K18" s="160"/>
    </row>
    <row r="19" spans="1:12" x14ac:dyDescent="0.25">
      <c r="A19" t="s">
        <v>153</v>
      </c>
      <c r="B19" s="241">
        <f>+F5</f>
        <v>1.1470293933708566</v>
      </c>
      <c r="J19" s="160"/>
      <c r="K19" s="160"/>
      <c r="L19" s="140"/>
    </row>
    <row r="20" spans="1:12" x14ac:dyDescent="0.25">
      <c r="A20" t="s">
        <v>158</v>
      </c>
      <c r="B20" s="242">
        <v>200</v>
      </c>
      <c r="J20" s="160"/>
      <c r="K20" s="160"/>
    </row>
    <row r="21" spans="1:12" x14ac:dyDescent="0.25">
      <c r="A21" t="s">
        <v>159</v>
      </c>
      <c r="B21" s="243">
        <v>7.0000000000000007E-2</v>
      </c>
      <c r="J21" s="160"/>
    </row>
    <row r="22" spans="1:12" x14ac:dyDescent="0.25">
      <c r="A22" t="s">
        <v>160</v>
      </c>
      <c r="B22" s="243">
        <v>0</v>
      </c>
      <c r="J22" s="160"/>
    </row>
    <row r="23" spans="1:12" x14ac:dyDescent="0.25">
      <c r="A23" t="s">
        <v>154</v>
      </c>
      <c r="B23" s="242">
        <v>6000</v>
      </c>
      <c r="F23" t="s">
        <v>99</v>
      </c>
    </row>
    <row r="24" spans="1:12" x14ac:dyDescent="0.25">
      <c r="A24" t="s">
        <v>161</v>
      </c>
      <c r="B24" s="243">
        <v>7.0000000000000007E-2</v>
      </c>
    </row>
    <row r="25" spans="1:12" x14ac:dyDescent="0.25">
      <c r="A25" t="s">
        <v>162</v>
      </c>
      <c r="B25" s="243">
        <v>2.5000000000000001E-2</v>
      </c>
    </row>
    <row r="26" spans="1:12" x14ac:dyDescent="0.25">
      <c r="A26" t="s">
        <v>157</v>
      </c>
      <c r="B26" s="242">
        <v>325</v>
      </c>
    </row>
    <row r="27" spans="1:12" x14ac:dyDescent="0.25">
      <c r="B27" s="243"/>
    </row>
    <row r="28" spans="1:12" x14ac:dyDescent="0.25">
      <c r="F28" t="s">
        <v>99</v>
      </c>
    </row>
    <row r="29" spans="1:12" x14ac:dyDescent="0.25">
      <c r="A29" s="155" t="s">
        <v>155</v>
      </c>
    </row>
    <row r="30" spans="1:12" ht="30" x14ac:dyDescent="0.25">
      <c r="A30" t="s">
        <v>164</v>
      </c>
      <c r="B30" s="238" t="s">
        <v>209</v>
      </c>
    </row>
    <row r="31" spans="1:12" x14ac:dyDescent="0.25">
      <c r="A31" t="s">
        <v>156</v>
      </c>
      <c r="B31" s="242">
        <v>90</v>
      </c>
    </row>
    <row r="32" spans="1:12" x14ac:dyDescent="0.25">
      <c r="A32" t="s">
        <v>218</v>
      </c>
      <c r="B32" s="242">
        <v>250</v>
      </c>
    </row>
    <row r="33" spans="1:2" x14ac:dyDescent="0.25">
      <c r="A33" t="s">
        <v>219</v>
      </c>
      <c r="B33" s="242">
        <v>280</v>
      </c>
    </row>
    <row r="34" spans="1:2" x14ac:dyDescent="0.25">
      <c r="A34" t="s">
        <v>163</v>
      </c>
      <c r="B34" s="242">
        <v>35000</v>
      </c>
    </row>
    <row r="35" spans="1:2" x14ac:dyDescent="0.25">
      <c r="A35" t="s">
        <v>220</v>
      </c>
      <c r="B35" s="243">
        <v>0.2</v>
      </c>
    </row>
    <row r="37" spans="1:2" x14ac:dyDescent="0.25">
      <c r="A37" s="155" t="s">
        <v>166</v>
      </c>
    </row>
    <row r="38" spans="1:2" x14ac:dyDescent="0.25">
      <c r="A38" t="s">
        <v>167</v>
      </c>
      <c r="B38" s="238" t="s">
        <v>144</v>
      </c>
    </row>
    <row r="39" spans="1:2" x14ac:dyDescent="0.25">
      <c r="A39" t="s">
        <v>168</v>
      </c>
      <c r="B39" s="238" t="s">
        <v>144</v>
      </c>
    </row>
    <row r="41" spans="1:2" x14ac:dyDescent="0.25">
      <c r="A41" s="155" t="s">
        <v>178</v>
      </c>
    </row>
    <row r="42" spans="1:2" x14ac:dyDescent="0.25">
      <c r="A42" t="s">
        <v>165</v>
      </c>
      <c r="B42" s="243">
        <v>0.06</v>
      </c>
    </row>
    <row r="43" spans="1:2" x14ac:dyDescent="0.25">
      <c r="A43" t="s">
        <v>217</v>
      </c>
      <c r="B43" s="244">
        <v>6.0999999999999999E-2</v>
      </c>
    </row>
    <row r="44" spans="1:2" x14ac:dyDescent="0.25">
      <c r="A44" t="s">
        <v>213</v>
      </c>
      <c r="B44" s="244">
        <v>0.05</v>
      </c>
    </row>
    <row r="45" spans="1:2" x14ac:dyDescent="0.25">
      <c r="A45" t="s">
        <v>216</v>
      </c>
      <c r="B45" s="244">
        <v>0.04</v>
      </c>
    </row>
  </sheetData>
  <sheetProtection algorithmName="SHA-512" hashValue="jT6OdKjtGs0rUXWuhBQY6WyKwAwxw6K9b4ezoEGbV6CJx1/HMBRdQjFKxUqI6eIk5LCIPSK/mbhAhnfHkT+UMQ==" saltValue="GBmwVErR9WN9v2eyHF8+uA==" spinCount="100000" sheet="1" objects="1" scenarios="1"/>
  <pageMargins left="0.25" right="0.25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9"/>
  <sheetViews>
    <sheetView zoomScaleNormal="100" workbookViewId="0">
      <pane ySplit="2" topLeftCell="A3" activePane="bottomLeft" state="frozen"/>
      <selection pane="bottomLeft" activeCell="J28" sqref="J28"/>
    </sheetView>
  </sheetViews>
  <sheetFormatPr defaultRowHeight="15" x14ac:dyDescent="0.25"/>
  <cols>
    <col min="2" max="2" width="35.7109375" customWidth="1"/>
    <col min="3" max="3" width="18.7109375" customWidth="1"/>
    <col min="4" max="4" width="18.85546875" customWidth="1"/>
    <col min="5" max="5" width="10.140625" customWidth="1"/>
    <col min="6" max="6" width="13.28515625" customWidth="1"/>
    <col min="7" max="7" width="21.28515625" customWidth="1"/>
    <col min="8" max="8" width="19" customWidth="1"/>
    <col min="9" max="9" width="14.42578125" customWidth="1"/>
    <col min="10" max="10" width="23.5703125" customWidth="1"/>
    <col min="11" max="11" width="13.85546875" customWidth="1"/>
    <col min="12" max="12" width="13.5703125" customWidth="1"/>
    <col min="14" max="14" width="16.7109375" bestFit="1" customWidth="1"/>
    <col min="257" max="257" width="2.28515625" customWidth="1"/>
    <col min="258" max="258" width="16.5703125" customWidth="1"/>
    <col min="259" max="259" width="16" customWidth="1"/>
    <col min="260" max="260" width="14" customWidth="1"/>
    <col min="261" max="261" width="16" customWidth="1"/>
    <col min="262" max="262" width="15.85546875" customWidth="1"/>
    <col min="263" max="263" width="19" customWidth="1"/>
    <col min="266" max="266" width="10.7109375" bestFit="1" customWidth="1"/>
    <col min="513" max="513" width="2.28515625" customWidth="1"/>
    <col min="514" max="514" width="16.5703125" customWidth="1"/>
    <col min="515" max="515" width="16" customWidth="1"/>
    <col min="516" max="516" width="14" customWidth="1"/>
    <col min="517" max="517" width="16" customWidth="1"/>
    <col min="518" max="518" width="15.85546875" customWidth="1"/>
    <col min="519" max="519" width="19" customWidth="1"/>
    <col min="522" max="522" width="10.7109375" bestFit="1" customWidth="1"/>
    <col min="769" max="769" width="2.28515625" customWidth="1"/>
    <col min="770" max="770" width="16.5703125" customWidth="1"/>
    <col min="771" max="771" width="16" customWidth="1"/>
    <col min="772" max="772" width="14" customWidth="1"/>
    <col min="773" max="773" width="16" customWidth="1"/>
    <col min="774" max="774" width="15.85546875" customWidth="1"/>
    <col min="775" max="775" width="19" customWidth="1"/>
    <col min="778" max="778" width="10.7109375" bestFit="1" customWidth="1"/>
    <col min="1025" max="1025" width="2.28515625" customWidth="1"/>
    <col min="1026" max="1026" width="16.5703125" customWidth="1"/>
    <col min="1027" max="1027" width="16" customWidth="1"/>
    <col min="1028" max="1028" width="14" customWidth="1"/>
    <col min="1029" max="1029" width="16" customWidth="1"/>
    <col min="1030" max="1030" width="15.85546875" customWidth="1"/>
    <col min="1031" max="1031" width="19" customWidth="1"/>
    <col min="1034" max="1034" width="10.7109375" bestFit="1" customWidth="1"/>
    <col min="1281" max="1281" width="2.28515625" customWidth="1"/>
    <col min="1282" max="1282" width="16.5703125" customWidth="1"/>
    <col min="1283" max="1283" width="16" customWidth="1"/>
    <col min="1284" max="1284" width="14" customWidth="1"/>
    <col min="1285" max="1285" width="16" customWidth="1"/>
    <col min="1286" max="1286" width="15.85546875" customWidth="1"/>
    <col min="1287" max="1287" width="19" customWidth="1"/>
    <col min="1290" max="1290" width="10.7109375" bestFit="1" customWidth="1"/>
    <col min="1537" max="1537" width="2.28515625" customWidth="1"/>
    <col min="1538" max="1538" width="16.5703125" customWidth="1"/>
    <col min="1539" max="1539" width="16" customWidth="1"/>
    <col min="1540" max="1540" width="14" customWidth="1"/>
    <col min="1541" max="1541" width="16" customWidth="1"/>
    <col min="1542" max="1542" width="15.85546875" customWidth="1"/>
    <col min="1543" max="1543" width="19" customWidth="1"/>
    <col min="1546" max="1546" width="10.7109375" bestFit="1" customWidth="1"/>
    <col min="1793" max="1793" width="2.28515625" customWidth="1"/>
    <col min="1794" max="1794" width="16.5703125" customWidth="1"/>
    <col min="1795" max="1795" width="16" customWidth="1"/>
    <col min="1796" max="1796" width="14" customWidth="1"/>
    <col min="1797" max="1797" width="16" customWidth="1"/>
    <col min="1798" max="1798" width="15.85546875" customWidth="1"/>
    <col min="1799" max="1799" width="19" customWidth="1"/>
    <col min="1802" max="1802" width="10.7109375" bestFit="1" customWidth="1"/>
    <col min="2049" max="2049" width="2.28515625" customWidth="1"/>
    <col min="2050" max="2050" width="16.5703125" customWidth="1"/>
    <col min="2051" max="2051" width="16" customWidth="1"/>
    <col min="2052" max="2052" width="14" customWidth="1"/>
    <col min="2053" max="2053" width="16" customWidth="1"/>
    <col min="2054" max="2054" width="15.85546875" customWidth="1"/>
    <col min="2055" max="2055" width="19" customWidth="1"/>
    <col min="2058" max="2058" width="10.7109375" bestFit="1" customWidth="1"/>
    <col min="2305" max="2305" width="2.28515625" customWidth="1"/>
    <col min="2306" max="2306" width="16.5703125" customWidth="1"/>
    <col min="2307" max="2307" width="16" customWidth="1"/>
    <col min="2308" max="2308" width="14" customWidth="1"/>
    <col min="2309" max="2309" width="16" customWidth="1"/>
    <col min="2310" max="2310" width="15.85546875" customWidth="1"/>
    <col min="2311" max="2311" width="19" customWidth="1"/>
    <col min="2314" max="2314" width="10.7109375" bestFit="1" customWidth="1"/>
    <col min="2561" max="2561" width="2.28515625" customWidth="1"/>
    <col min="2562" max="2562" width="16.5703125" customWidth="1"/>
    <col min="2563" max="2563" width="16" customWidth="1"/>
    <col min="2564" max="2564" width="14" customWidth="1"/>
    <col min="2565" max="2565" width="16" customWidth="1"/>
    <col min="2566" max="2566" width="15.85546875" customWidth="1"/>
    <col min="2567" max="2567" width="19" customWidth="1"/>
    <col min="2570" max="2570" width="10.7109375" bestFit="1" customWidth="1"/>
    <col min="2817" max="2817" width="2.28515625" customWidth="1"/>
    <col min="2818" max="2818" width="16.5703125" customWidth="1"/>
    <col min="2819" max="2819" width="16" customWidth="1"/>
    <col min="2820" max="2820" width="14" customWidth="1"/>
    <col min="2821" max="2821" width="16" customWidth="1"/>
    <col min="2822" max="2822" width="15.85546875" customWidth="1"/>
    <col min="2823" max="2823" width="19" customWidth="1"/>
    <col min="2826" max="2826" width="10.7109375" bestFit="1" customWidth="1"/>
    <col min="3073" max="3073" width="2.28515625" customWidth="1"/>
    <col min="3074" max="3074" width="16.5703125" customWidth="1"/>
    <col min="3075" max="3075" width="16" customWidth="1"/>
    <col min="3076" max="3076" width="14" customWidth="1"/>
    <col min="3077" max="3077" width="16" customWidth="1"/>
    <col min="3078" max="3078" width="15.85546875" customWidth="1"/>
    <col min="3079" max="3079" width="19" customWidth="1"/>
    <col min="3082" max="3082" width="10.7109375" bestFit="1" customWidth="1"/>
    <col min="3329" max="3329" width="2.28515625" customWidth="1"/>
    <col min="3330" max="3330" width="16.5703125" customWidth="1"/>
    <col min="3331" max="3331" width="16" customWidth="1"/>
    <col min="3332" max="3332" width="14" customWidth="1"/>
    <col min="3333" max="3333" width="16" customWidth="1"/>
    <col min="3334" max="3334" width="15.85546875" customWidth="1"/>
    <col min="3335" max="3335" width="19" customWidth="1"/>
    <col min="3338" max="3338" width="10.7109375" bestFit="1" customWidth="1"/>
    <col min="3585" max="3585" width="2.28515625" customWidth="1"/>
    <col min="3586" max="3586" width="16.5703125" customWidth="1"/>
    <col min="3587" max="3587" width="16" customWidth="1"/>
    <col min="3588" max="3588" width="14" customWidth="1"/>
    <col min="3589" max="3589" width="16" customWidth="1"/>
    <col min="3590" max="3590" width="15.85546875" customWidth="1"/>
    <col min="3591" max="3591" width="19" customWidth="1"/>
    <col min="3594" max="3594" width="10.7109375" bestFit="1" customWidth="1"/>
    <col min="3841" max="3841" width="2.28515625" customWidth="1"/>
    <col min="3842" max="3842" width="16.5703125" customWidth="1"/>
    <col min="3843" max="3843" width="16" customWidth="1"/>
    <col min="3844" max="3844" width="14" customWidth="1"/>
    <col min="3845" max="3845" width="16" customWidth="1"/>
    <col min="3846" max="3846" width="15.85546875" customWidth="1"/>
    <col min="3847" max="3847" width="19" customWidth="1"/>
    <col min="3850" max="3850" width="10.7109375" bestFit="1" customWidth="1"/>
    <col min="4097" max="4097" width="2.28515625" customWidth="1"/>
    <col min="4098" max="4098" width="16.5703125" customWidth="1"/>
    <col min="4099" max="4099" width="16" customWidth="1"/>
    <col min="4100" max="4100" width="14" customWidth="1"/>
    <col min="4101" max="4101" width="16" customWidth="1"/>
    <col min="4102" max="4102" width="15.85546875" customWidth="1"/>
    <col min="4103" max="4103" width="19" customWidth="1"/>
    <col min="4106" max="4106" width="10.7109375" bestFit="1" customWidth="1"/>
    <col min="4353" max="4353" width="2.28515625" customWidth="1"/>
    <col min="4354" max="4354" width="16.5703125" customWidth="1"/>
    <col min="4355" max="4355" width="16" customWidth="1"/>
    <col min="4356" max="4356" width="14" customWidth="1"/>
    <col min="4357" max="4357" width="16" customWidth="1"/>
    <col min="4358" max="4358" width="15.85546875" customWidth="1"/>
    <col min="4359" max="4359" width="19" customWidth="1"/>
    <col min="4362" max="4362" width="10.7109375" bestFit="1" customWidth="1"/>
    <col min="4609" max="4609" width="2.28515625" customWidth="1"/>
    <col min="4610" max="4610" width="16.5703125" customWidth="1"/>
    <col min="4611" max="4611" width="16" customWidth="1"/>
    <col min="4612" max="4612" width="14" customWidth="1"/>
    <col min="4613" max="4613" width="16" customWidth="1"/>
    <col min="4614" max="4614" width="15.85546875" customWidth="1"/>
    <col min="4615" max="4615" width="19" customWidth="1"/>
    <col min="4618" max="4618" width="10.7109375" bestFit="1" customWidth="1"/>
    <col min="4865" max="4865" width="2.28515625" customWidth="1"/>
    <col min="4866" max="4866" width="16.5703125" customWidth="1"/>
    <col min="4867" max="4867" width="16" customWidth="1"/>
    <col min="4868" max="4868" width="14" customWidth="1"/>
    <col min="4869" max="4869" width="16" customWidth="1"/>
    <col min="4870" max="4870" width="15.85546875" customWidth="1"/>
    <col min="4871" max="4871" width="19" customWidth="1"/>
    <col min="4874" max="4874" width="10.7109375" bestFit="1" customWidth="1"/>
    <col min="5121" max="5121" width="2.28515625" customWidth="1"/>
    <col min="5122" max="5122" width="16.5703125" customWidth="1"/>
    <col min="5123" max="5123" width="16" customWidth="1"/>
    <col min="5124" max="5124" width="14" customWidth="1"/>
    <col min="5125" max="5125" width="16" customWidth="1"/>
    <col min="5126" max="5126" width="15.85546875" customWidth="1"/>
    <col min="5127" max="5127" width="19" customWidth="1"/>
    <col min="5130" max="5130" width="10.7109375" bestFit="1" customWidth="1"/>
    <col min="5377" max="5377" width="2.28515625" customWidth="1"/>
    <col min="5378" max="5378" width="16.5703125" customWidth="1"/>
    <col min="5379" max="5379" width="16" customWidth="1"/>
    <col min="5380" max="5380" width="14" customWidth="1"/>
    <col min="5381" max="5381" width="16" customWidth="1"/>
    <col min="5382" max="5382" width="15.85546875" customWidth="1"/>
    <col min="5383" max="5383" width="19" customWidth="1"/>
    <col min="5386" max="5386" width="10.7109375" bestFit="1" customWidth="1"/>
    <col min="5633" max="5633" width="2.28515625" customWidth="1"/>
    <col min="5634" max="5634" width="16.5703125" customWidth="1"/>
    <col min="5635" max="5635" width="16" customWidth="1"/>
    <col min="5636" max="5636" width="14" customWidth="1"/>
    <col min="5637" max="5637" width="16" customWidth="1"/>
    <col min="5638" max="5638" width="15.85546875" customWidth="1"/>
    <col min="5639" max="5639" width="19" customWidth="1"/>
    <col min="5642" max="5642" width="10.7109375" bestFit="1" customWidth="1"/>
    <col min="5889" max="5889" width="2.28515625" customWidth="1"/>
    <col min="5890" max="5890" width="16.5703125" customWidth="1"/>
    <col min="5891" max="5891" width="16" customWidth="1"/>
    <col min="5892" max="5892" width="14" customWidth="1"/>
    <col min="5893" max="5893" width="16" customWidth="1"/>
    <col min="5894" max="5894" width="15.85546875" customWidth="1"/>
    <col min="5895" max="5895" width="19" customWidth="1"/>
    <col min="5898" max="5898" width="10.7109375" bestFit="1" customWidth="1"/>
    <col min="6145" max="6145" width="2.28515625" customWidth="1"/>
    <col min="6146" max="6146" width="16.5703125" customWidth="1"/>
    <col min="6147" max="6147" width="16" customWidth="1"/>
    <col min="6148" max="6148" width="14" customWidth="1"/>
    <col min="6149" max="6149" width="16" customWidth="1"/>
    <col min="6150" max="6150" width="15.85546875" customWidth="1"/>
    <col min="6151" max="6151" width="19" customWidth="1"/>
    <col min="6154" max="6154" width="10.7109375" bestFit="1" customWidth="1"/>
    <col min="6401" max="6401" width="2.28515625" customWidth="1"/>
    <col min="6402" max="6402" width="16.5703125" customWidth="1"/>
    <col min="6403" max="6403" width="16" customWidth="1"/>
    <col min="6404" max="6404" width="14" customWidth="1"/>
    <col min="6405" max="6405" width="16" customWidth="1"/>
    <col min="6406" max="6406" width="15.85546875" customWidth="1"/>
    <col min="6407" max="6407" width="19" customWidth="1"/>
    <col min="6410" max="6410" width="10.7109375" bestFit="1" customWidth="1"/>
    <col min="6657" max="6657" width="2.28515625" customWidth="1"/>
    <col min="6658" max="6658" width="16.5703125" customWidth="1"/>
    <col min="6659" max="6659" width="16" customWidth="1"/>
    <col min="6660" max="6660" width="14" customWidth="1"/>
    <col min="6661" max="6661" width="16" customWidth="1"/>
    <col min="6662" max="6662" width="15.85546875" customWidth="1"/>
    <col min="6663" max="6663" width="19" customWidth="1"/>
    <col min="6666" max="6666" width="10.7109375" bestFit="1" customWidth="1"/>
    <col min="6913" max="6913" width="2.28515625" customWidth="1"/>
    <col min="6914" max="6914" width="16.5703125" customWidth="1"/>
    <col min="6915" max="6915" width="16" customWidth="1"/>
    <col min="6916" max="6916" width="14" customWidth="1"/>
    <col min="6917" max="6917" width="16" customWidth="1"/>
    <col min="6918" max="6918" width="15.85546875" customWidth="1"/>
    <col min="6919" max="6919" width="19" customWidth="1"/>
    <col min="6922" max="6922" width="10.7109375" bestFit="1" customWidth="1"/>
    <col min="7169" max="7169" width="2.28515625" customWidth="1"/>
    <col min="7170" max="7170" width="16.5703125" customWidth="1"/>
    <col min="7171" max="7171" width="16" customWidth="1"/>
    <col min="7172" max="7172" width="14" customWidth="1"/>
    <col min="7173" max="7173" width="16" customWidth="1"/>
    <col min="7174" max="7174" width="15.85546875" customWidth="1"/>
    <col min="7175" max="7175" width="19" customWidth="1"/>
    <col min="7178" max="7178" width="10.7109375" bestFit="1" customWidth="1"/>
    <col min="7425" max="7425" width="2.28515625" customWidth="1"/>
    <col min="7426" max="7426" width="16.5703125" customWidth="1"/>
    <col min="7427" max="7427" width="16" customWidth="1"/>
    <col min="7428" max="7428" width="14" customWidth="1"/>
    <col min="7429" max="7429" width="16" customWidth="1"/>
    <col min="7430" max="7430" width="15.85546875" customWidth="1"/>
    <col min="7431" max="7431" width="19" customWidth="1"/>
    <col min="7434" max="7434" width="10.7109375" bestFit="1" customWidth="1"/>
    <col min="7681" max="7681" width="2.28515625" customWidth="1"/>
    <col min="7682" max="7682" width="16.5703125" customWidth="1"/>
    <col min="7683" max="7683" width="16" customWidth="1"/>
    <col min="7684" max="7684" width="14" customWidth="1"/>
    <col min="7685" max="7685" width="16" customWidth="1"/>
    <col min="7686" max="7686" width="15.85546875" customWidth="1"/>
    <col min="7687" max="7687" width="19" customWidth="1"/>
    <col min="7690" max="7690" width="10.7109375" bestFit="1" customWidth="1"/>
    <col min="7937" max="7937" width="2.28515625" customWidth="1"/>
    <col min="7938" max="7938" width="16.5703125" customWidth="1"/>
    <col min="7939" max="7939" width="16" customWidth="1"/>
    <col min="7940" max="7940" width="14" customWidth="1"/>
    <col min="7941" max="7941" width="16" customWidth="1"/>
    <col min="7942" max="7942" width="15.85546875" customWidth="1"/>
    <col min="7943" max="7943" width="19" customWidth="1"/>
    <col min="7946" max="7946" width="10.7109375" bestFit="1" customWidth="1"/>
    <col min="8193" max="8193" width="2.28515625" customWidth="1"/>
    <col min="8194" max="8194" width="16.5703125" customWidth="1"/>
    <col min="8195" max="8195" width="16" customWidth="1"/>
    <col min="8196" max="8196" width="14" customWidth="1"/>
    <col min="8197" max="8197" width="16" customWidth="1"/>
    <col min="8198" max="8198" width="15.85546875" customWidth="1"/>
    <col min="8199" max="8199" width="19" customWidth="1"/>
    <col min="8202" max="8202" width="10.7109375" bestFit="1" customWidth="1"/>
    <col min="8449" max="8449" width="2.28515625" customWidth="1"/>
    <col min="8450" max="8450" width="16.5703125" customWidth="1"/>
    <col min="8451" max="8451" width="16" customWidth="1"/>
    <col min="8452" max="8452" width="14" customWidth="1"/>
    <col min="8453" max="8453" width="16" customWidth="1"/>
    <col min="8454" max="8454" width="15.85546875" customWidth="1"/>
    <col min="8455" max="8455" width="19" customWidth="1"/>
    <col min="8458" max="8458" width="10.7109375" bestFit="1" customWidth="1"/>
    <col min="8705" max="8705" width="2.28515625" customWidth="1"/>
    <col min="8706" max="8706" width="16.5703125" customWidth="1"/>
    <col min="8707" max="8707" width="16" customWidth="1"/>
    <col min="8708" max="8708" width="14" customWidth="1"/>
    <col min="8709" max="8709" width="16" customWidth="1"/>
    <col min="8710" max="8710" width="15.85546875" customWidth="1"/>
    <col min="8711" max="8711" width="19" customWidth="1"/>
    <col min="8714" max="8714" width="10.7109375" bestFit="1" customWidth="1"/>
    <col min="8961" max="8961" width="2.28515625" customWidth="1"/>
    <col min="8962" max="8962" width="16.5703125" customWidth="1"/>
    <col min="8963" max="8963" width="16" customWidth="1"/>
    <col min="8964" max="8964" width="14" customWidth="1"/>
    <col min="8965" max="8965" width="16" customWidth="1"/>
    <col min="8966" max="8966" width="15.85546875" customWidth="1"/>
    <col min="8967" max="8967" width="19" customWidth="1"/>
    <col min="8970" max="8970" width="10.7109375" bestFit="1" customWidth="1"/>
    <col min="9217" max="9217" width="2.28515625" customWidth="1"/>
    <col min="9218" max="9218" width="16.5703125" customWidth="1"/>
    <col min="9219" max="9219" width="16" customWidth="1"/>
    <col min="9220" max="9220" width="14" customWidth="1"/>
    <col min="9221" max="9221" width="16" customWidth="1"/>
    <col min="9222" max="9222" width="15.85546875" customWidth="1"/>
    <col min="9223" max="9223" width="19" customWidth="1"/>
    <col min="9226" max="9226" width="10.7109375" bestFit="1" customWidth="1"/>
    <col min="9473" max="9473" width="2.28515625" customWidth="1"/>
    <col min="9474" max="9474" width="16.5703125" customWidth="1"/>
    <col min="9475" max="9475" width="16" customWidth="1"/>
    <col min="9476" max="9476" width="14" customWidth="1"/>
    <col min="9477" max="9477" width="16" customWidth="1"/>
    <col min="9478" max="9478" width="15.85546875" customWidth="1"/>
    <col min="9479" max="9479" width="19" customWidth="1"/>
    <col min="9482" max="9482" width="10.7109375" bestFit="1" customWidth="1"/>
    <col min="9729" max="9729" width="2.28515625" customWidth="1"/>
    <col min="9730" max="9730" width="16.5703125" customWidth="1"/>
    <col min="9731" max="9731" width="16" customWidth="1"/>
    <col min="9732" max="9732" width="14" customWidth="1"/>
    <col min="9733" max="9733" width="16" customWidth="1"/>
    <col min="9734" max="9734" width="15.85546875" customWidth="1"/>
    <col min="9735" max="9735" width="19" customWidth="1"/>
    <col min="9738" max="9738" width="10.7109375" bestFit="1" customWidth="1"/>
    <col min="9985" max="9985" width="2.28515625" customWidth="1"/>
    <col min="9986" max="9986" width="16.5703125" customWidth="1"/>
    <col min="9987" max="9987" width="16" customWidth="1"/>
    <col min="9988" max="9988" width="14" customWidth="1"/>
    <col min="9989" max="9989" width="16" customWidth="1"/>
    <col min="9990" max="9990" width="15.85546875" customWidth="1"/>
    <col min="9991" max="9991" width="19" customWidth="1"/>
    <col min="9994" max="9994" width="10.7109375" bestFit="1" customWidth="1"/>
    <col min="10241" max="10241" width="2.28515625" customWidth="1"/>
    <col min="10242" max="10242" width="16.5703125" customWidth="1"/>
    <col min="10243" max="10243" width="16" customWidth="1"/>
    <col min="10244" max="10244" width="14" customWidth="1"/>
    <col min="10245" max="10245" width="16" customWidth="1"/>
    <col min="10246" max="10246" width="15.85546875" customWidth="1"/>
    <col min="10247" max="10247" width="19" customWidth="1"/>
    <col min="10250" max="10250" width="10.7109375" bestFit="1" customWidth="1"/>
    <col min="10497" max="10497" width="2.28515625" customWidth="1"/>
    <col min="10498" max="10498" width="16.5703125" customWidth="1"/>
    <col min="10499" max="10499" width="16" customWidth="1"/>
    <col min="10500" max="10500" width="14" customWidth="1"/>
    <col min="10501" max="10501" width="16" customWidth="1"/>
    <col min="10502" max="10502" width="15.85546875" customWidth="1"/>
    <col min="10503" max="10503" width="19" customWidth="1"/>
    <col min="10506" max="10506" width="10.7109375" bestFit="1" customWidth="1"/>
    <col min="10753" max="10753" width="2.28515625" customWidth="1"/>
    <col min="10754" max="10754" width="16.5703125" customWidth="1"/>
    <col min="10755" max="10755" width="16" customWidth="1"/>
    <col min="10756" max="10756" width="14" customWidth="1"/>
    <col min="10757" max="10757" width="16" customWidth="1"/>
    <col min="10758" max="10758" width="15.85546875" customWidth="1"/>
    <col min="10759" max="10759" width="19" customWidth="1"/>
    <col min="10762" max="10762" width="10.7109375" bestFit="1" customWidth="1"/>
    <col min="11009" max="11009" width="2.28515625" customWidth="1"/>
    <col min="11010" max="11010" width="16.5703125" customWidth="1"/>
    <col min="11011" max="11011" width="16" customWidth="1"/>
    <col min="11012" max="11012" width="14" customWidth="1"/>
    <col min="11013" max="11013" width="16" customWidth="1"/>
    <col min="11014" max="11014" width="15.85546875" customWidth="1"/>
    <col min="11015" max="11015" width="19" customWidth="1"/>
    <col min="11018" max="11018" width="10.7109375" bestFit="1" customWidth="1"/>
    <col min="11265" max="11265" width="2.28515625" customWidth="1"/>
    <col min="11266" max="11266" width="16.5703125" customWidth="1"/>
    <col min="11267" max="11267" width="16" customWidth="1"/>
    <col min="11268" max="11268" width="14" customWidth="1"/>
    <col min="11269" max="11269" width="16" customWidth="1"/>
    <col min="11270" max="11270" width="15.85546875" customWidth="1"/>
    <col min="11271" max="11271" width="19" customWidth="1"/>
    <col min="11274" max="11274" width="10.7109375" bestFit="1" customWidth="1"/>
    <col min="11521" max="11521" width="2.28515625" customWidth="1"/>
    <col min="11522" max="11522" width="16.5703125" customWidth="1"/>
    <col min="11523" max="11523" width="16" customWidth="1"/>
    <col min="11524" max="11524" width="14" customWidth="1"/>
    <col min="11525" max="11525" width="16" customWidth="1"/>
    <col min="11526" max="11526" width="15.85546875" customWidth="1"/>
    <col min="11527" max="11527" width="19" customWidth="1"/>
    <col min="11530" max="11530" width="10.7109375" bestFit="1" customWidth="1"/>
    <col min="11777" max="11777" width="2.28515625" customWidth="1"/>
    <col min="11778" max="11778" width="16.5703125" customWidth="1"/>
    <col min="11779" max="11779" width="16" customWidth="1"/>
    <col min="11780" max="11780" width="14" customWidth="1"/>
    <col min="11781" max="11781" width="16" customWidth="1"/>
    <col min="11782" max="11782" width="15.85546875" customWidth="1"/>
    <col min="11783" max="11783" width="19" customWidth="1"/>
    <col min="11786" max="11786" width="10.7109375" bestFit="1" customWidth="1"/>
    <col min="12033" max="12033" width="2.28515625" customWidth="1"/>
    <col min="12034" max="12034" width="16.5703125" customWidth="1"/>
    <col min="12035" max="12035" width="16" customWidth="1"/>
    <col min="12036" max="12036" width="14" customWidth="1"/>
    <col min="12037" max="12037" width="16" customWidth="1"/>
    <col min="12038" max="12038" width="15.85546875" customWidth="1"/>
    <col min="12039" max="12039" width="19" customWidth="1"/>
    <col min="12042" max="12042" width="10.7109375" bestFit="1" customWidth="1"/>
    <col min="12289" max="12289" width="2.28515625" customWidth="1"/>
    <col min="12290" max="12290" width="16.5703125" customWidth="1"/>
    <col min="12291" max="12291" width="16" customWidth="1"/>
    <col min="12292" max="12292" width="14" customWidth="1"/>
    <col min="12293" max="12293" width="16" customWidth="1"/>
    <col min="12294" max="12294" width="15.85546875" customWidth="1"/>
    <col min="12295" max="12295" width="19" customWidth="1"/>
    <col min="12298" max="12298" width="10.7109375" bestFit="1" customWidth="1"/>
    <col min="12545" max="12545" width="2.28515625" customWidth="1"/>
    <col min="12546" max="12546" width="16.5703125" customWidth="1"/>
    <col min="12547" max="12547" width="16" customWidth="1"/>
    <col min="12548" max="12548" width="14" customWidth="1"/>
    <col min="12549" max="12549" width="16" customWidth="1"/>
    <col min="12550" max="12550" width="15.85546875" customWidth="1"/>
    <col min="12551" max="12551" width="19" customWidth="1"/>
    <col min="12554" max="12554" width="10.7109375" bestFit="1" customWidth="1"/>
    <col min="12801" max="12801" width="2.28515625" customWidth="1"/>
    <col min="12802" max="12802" width="16.5703125" customWidth="1"/>
    <col min="12803" max="12803" width="16" customWidth="1"/>
    <col min="12804" max="12804" width="14" customWidth="1"/>
    <col min="12805" max="12805" width="16" customWidth="1"/>
    <col min="12806" max="12806" width="15.85546875" customWidth="1"/>
    <col min="12807" max="12807" width="19" customWidth="1"/>
    <col min="12810" max="12810" width="10.7109375" bestFit="1" customWidth="1"/>
    <col min="13057" max="13057" width="2.28515625" customWidth="1"/>
    <col min="13058" max="13058" width="16.5703125" customWidth="1"/>
    <col min="13059" max="13059" width="16" customWidth="1"/>
    <col min="13060" max="13060" width="14" customWidth="1"/>
    <col min="13061" max="13061" width="16" customWidth="1"/>
    <col min="13062" max="13062" width="15.85546875" customWidth="1"/>
    <col min="13063" max="13063" width="19" customWidth="1"/>
    <col min="13066" max="13066" width="10.7109375" bestFit="1" customWidth="1"/>
    <col min="13313" max="13313" width="2.28515625" customWidth="1"/>
    <col min="13314" max="13314" width="16.5703125" customWidth="1"/>
    <col min="13315" max="13315" width="16" customWidth="1"/>
    <col min="13316" max="13316" width="14" customWidth="1"/>
    <col min="13317" max="13317" width="16" customWidth="1"/>
    <col min="13318" max="13318" width="15.85546875" customWidth="1"/>
    <col min="13319" max="13319" width="19" customWidth="1"/>
    <col min="13322" max="13322" width="10.7109375" bestFit="1" customWidth="1"/>
    <col min="13569" max="13569" width="2.28515625" customWidth="1"/>
    <col min="13570" max="13570" width="16.5703125" customWidth="1"/>
    <col min="13571" max="13571" width="16" customWidth="1"/>
    <col min="13572" max="13572" width="14" customWidth="1"/>
    <col min="13573" max="13573" width="16" customWidth="1"/>
    <col min="13574" max="13574" width="15.85546875" customWidth="1"/>
    <col min="13575" max="13575" width="19" customWidth="1"/>
    <col min="13578" max="13578" width="10.7109375" bestFit="1" customWidth="1"/>
    <col min="13825" max="13825" width="2.28515625" customWidth="1"/>
    <col min="13826" max="13826" width="16.5703125" customWidth="1"/>
    <col min="13827" max="13827" width="16" customWidth="1"/>
    <col min="13828" max="13828" width="14" customWidth="1"/>
    <col min="13829" max="13829" width="16" customWidth="1"/>
    <col min="13830" max="13830" width="15.85546875" customWidth="1"/>
    <col min="13831" max="13831" width="19" customWidth="1"/>
    <col min="13834" max="13834" width="10.7109375" bestFit="1" customWidth="1"/>
    <col min="14081" max="14081" width="2.28515625" customWidth="1"/>
    <col min="14082" max="14082" width="16.5703125" customWidth="1"/>
    <col min="14083" max="14083" width="16" customWidth="1"/>
    <col min="14084" max="14084" width="14" customWidth="1"/>
    <col min="14085" max="14085" width="16" customWidth="1"/>
    <col min="14086" max="14086" width="15.85546875" customWidth="1"/>
    <col min="14087" max="14087" width="19" customWidth="1"/>
    <col min="14090" max="14090" width="10.7109375" bestFit="1" customWidth="1"/>
    <col min="14337" max="14337" width="2.28515625" customWidth="1"/>
    <col min="14338" max="14338" width="16.5703125" customWidth="1"/>
    <col min="14339" max="14339" width="16" customWidth="1"/>
    <col min="14340" max="14340" width="14" customWidth="1"/>
    <col min="14341" max="14341" width="16" customWidth="1"/>
    <col min="14342" max="14342" width="15.85546875" customWidth="1"/>
    <col min="14343" max="14343" width="19" customWidth="1"/>
    <col min="14346" max="14346" width="10.7109375" bestFit="1" customWidth="1"/>
    <col min="14593" max="14593" width="2.28515625" customWidth="1"/>
    <col min="14594" max="14594" width="16.5703125" customWidth="1"/>
    <col min="14595" max="14595" width="16" customWidth="1"/>
    <col min="14596" max="14596" width="14" customWidth="1"/>
    <col min="14597" max="14597" width="16" customWidth="1"/>
    <col min="14598" max="14598" width="15.85546875" customWidth="1"/>
    <col min="14599" max="14599" width="19" customWidth="1"/>
    <col min="14602" max="14602" width="10.7109375" bestFit="1" customWidth="1"/>
    <col min="14849" max="14849" width="2.28515625" customWidth="1"/>
    <col min="14850" max="14850" width="16.5703125" customWidth="1"/>
    <col min="14851" max="14851" width="16" customWidth="1"/>
    <col min="14852" max="14852" width="14" customWidth="1"/>
    <col min="14853" max="14853" width="16" customWidth="1"/>
    <col min="14854" max="14854" width="15.85546875" customWidth="1"/>
    <col min="14855" max="14855" width="19" customWidth="1"/>
    <col min="14858" max="14858" width="10.7109375" bestFit="1" customWidth="1"/>
    <col min="15105" max="15105" width="2.28515625" customWidth="1"/>
    <col min="15106" max="15106" width="16.5703125" customWidth="1"/>
    <col min="15107" max="15107" width="16" customWidth="1"/>
    <col min="15108" max="15108" width="14" customWidth="1"/>
    <col min="15109" max="15109" width="16" customWidth="1"/>
    <col min="15110" max="15110" width="15.85546875" customWidth="1"/>
    <col min="15111" max="15111" width="19" customWidth="1"/>
    <col min="15114" max="15114" width="10.7109375" bestFit="1" customWidth="1"/>
    <col min="15361" max="15361" width="2.28515625" customWidth="1"/>
    <col min="15362" max="15362" width="16.5703125" customWidth="1"/>
    <col min="15363" max="15363" width="16" customWidth="1"/>
    <col min="15364" max="15364" width="14" customWidth="1"/>
    <col min="15365" max="15365" width="16" customWidth="1"/>
    <col min="15366" max="15366" width="15.85546875" customWidth="1"/>
    <col min="15367" max="15367" width="19" customWidth="1"/>
    <col min="15370" max="15370" width="10.7109375" bestFit="1" customWidth="1"/>
    <col min="15617" max="15617" width="2.28515625" customWidth="1"/>
    <col min="15618" max="15618" width="16.5703125" customWidth="1"/>
    <col min="15619" max="15619" width="16" customWidth="1"/>
    <col min="15620" max="15620" width="14" customWidth="1"/>
    <col min="15621" max="15621" width="16" customWidth="1"/>
    <col min="15622" max="15622" width="15.85546875" customWidth="1"/>
    <col min="15623" max="15623" width="19" customWidth="1"/>
    <col min="15626" max="15626" width="10.7109375" bestFit="1" customWidth="1"/>
    <col min="15873" max="15873" width="2.28515625" customWidth="1"/>
    <col min="15874" max="15874" width="16.5703125" customWidth="1"/>
    <col min="15875" max="15875" width="16" customWidth="1"/>
    <col min="15876" max="15876" width="14" customWidth="1"/>
    <col min="15877" max="15877" width="16" customWidth="1"/>
    <col min="15878" max="15878" width="15.85546875" customWidth="1"/>
    <col min="15879" max="15879" width="19" customWidth="1"/>
    <col min="15882" max="15882" width="10.7109375" bestFit="1" customWidth="1"/>
    <col min="16129" max="16129" width="2.28515625" customWidth="1"/>
    <col min="16130" max="16130" width="16.5703125" customWidth="1"/>
    <col min="16131" max="16131" width="16" customWidth="1"/>
    <col min="16132" max="16132" width="14" customWidth="1"/>
    <col min="16133" max="16133" width="16" customWidth="1"/>
    <col min="16134" max="16134" width="15.85546875" customWidth="1"/>
    <col min="16135" max="16135" width="19" customWidth="1"/>
    <col min="16138" max="16138" width="10.7109375" bestFit="1" customWidth="1"/>
  </cols>
  <sheetData>
    <row r="2" spans="2:14" ht="15.75" thickBot="1" x14ac:dyDescent="0.3">
      <c r="B2" s="247" t="s">
        <v>210</v>
      </c>
      <c r="C2" s="161" t="s">
        <v>222</v>
      </c>
      <c r="D2" s="161" t="s">
        <v>211</v>
      </c>
      <c r="E2" s="246">
        <v>1</v>
      </c>
      <c r="F2" s="162"/>
      <c r="G2" s="161" t="s">
        <v>212</v>
      </c>
      <c r="H2" s="245">
        <v>0.2</v>
      </c>
      <c r="I2" s="162"/>
      <c r="J2" s="163"/>
    </row>
    <row r="3" spans="2:14" x14ac:dyDescent="0.25">
      <c r="B3" s="256" t="s">
        <v>7</v>
      </c>
      <c r="C3" s="164" t="s">
        <v>8</v>
      </c>
      <c r="D3" s="165" t="s">
        <v>9</v>
      </c>
      <c r="E3" s="166"/>
      <c r="F3" s="166"/>
      <c r="G3" s="167" t="s">
        <v>10</v>
      </c>
      <c r="H3" s="168" t="s">
        <v>11</v>
      </c>
      <c r="I3" s="169"/>
      <c r="J3" s="163"/>
    </row>
    <row r="4" spans="2:14" x14ac:dyDescent="0.25">
      <c r="B4" s="257" t="str">
        <f>+Assumptions!B2</f>
        <v>Density Bonus, Base FAR/1.0</v>
      </c>
      <c r="C4" s="170"/>
      <c r="D4" s="171" t="s">
        <v>1</v>
      </c>
      <c r="E4" s="172"/>
      <c r="F4" s="173"/>
      <c r="G4" s="174" t="s">
        <v>14</v>
      </c>
      <c r="H4" s="175">
        <v>15000</v>
      </c>
      <c r="I4" s="162"/>
      <c r="J4" s="163"/>
    </row>
    <row r="5" spans="2:14" x14ac:dyDescent="0.25">
      <c r="B5" s="257" t="s">
        <v>225</v>
      </c>
      <c r="C5" s="176"/>
      <c r="D5" s="170" t="s">
        <v>16</v>
      </c>
      <c r="E5" s="172"/>
      <c r="F5" s="177"/>
      <c r="G5" s="178" t="s">
        <v>4</v>
      </c>
      <c r="H5" s="179">
        <v>2</v>
      </c>
      <c r="I5" s="162"/>
      <c r="J5" s="180"/>
    </row>
    <row r="6" spans="2:14" ht="15.75" thickBot="1" x14ac:dyDescent="0.3">
      <c r="B6" s="258"/>
      <c r="C6" s="181"/>
      <c r="D6" s="170" t="s">
        <v>18</v>
      </c>
      <c r="E6" s="182"/>
      <c r="F6" s="182"/>
      <c r="G6" s="183" t="s">
        <v>19</v>
      </c>
      <c r="H6" s="175">
        <f>+H4*H5</f>
        <v>30000</v>
      </c>
      <c r="I6" s="162"/>
      <c r="K6" s="271" t="s">
        <v>186</v>
      </c>
      <c r="L6" s="271"/>
    </row>
    <row r="7" spans="2:14" x14ac:dyDescent="0.25">
      <c r="B7" s="226"/>
      <c r="C7" s="181"/>
      <c r="D7" s="170" t="s">
        <v>5</v>
      </c>
      <c r="E7" s="182"/>
      <c r="F7" s="182"/>
      <c r="G7" s="184">
        <f>+Assumptions!B11</f>
        <v>940.58823529411768</v>
      </c>
      <c r="H7" s="185">
        <f>ROUND(H6/G7,0)</f>
        <v>32</v>
      </c>
      <c r="I7" s="162"/>
      <c r="K7" s="186" t="s">
        <v>187</v>
      </c>
      <c r="L7" s="163" t="s">
        <v>188</v>
      </c>
    </row>
    <row r="8" spans="2:14" x14ac:dyDescent="0.25">
      <c r="B8" s="226"/>
      <c r="C8" s="176"/>
      <c r="D8" s="170" t="s">
        <v>20</v>
      </c>
      <c r="E8" s="182"/>
      <c r="F8" s="182"/>
      <c r="G8" s="187"/>
      <c r="H8" s="188">
        <f>+Assumptions!B13</f>
        <v>0.5</v>
      </c>
      <c r="I8" s="162"/>
      <c r="J8" t="s">
        <v>189</v>
      </c>
      <c r="K8" s="189">
        <v>15000</v>
      </c>
      <c r="L8" s="190">
        <f>IF((H6-K8)&lt;0,0,H6-K8)</f>
        <v>15000</v>
      </c>
    </row>
    <row r="9" spans="2:14" x14ac:dyDescent="0.25">
      <c r="B9" s="226"/>
      <c r="C9" s="191" t="s">
        <v>21</v>
      </c>
      <c r="D9" s="191" t="s">
        <v>190</v>
      </c>
      <c r="E9" s="234">
        <f>+Assumptions!B5</f>
        <v>0.7</v>
      </c>
      <c r="F9" s="192"/>
      <c r="G9" s="191"/>
      <c r="H9" s="195">
        <f>+K12</f>
        <v>2</v>
      </c>
      <c r="I9" s="193"/>
      <c r="J9" s="163" t="s">
        <v>35</v>
      </c>
      <c r="K9" s="233">
        <f>+K8/G7</f>
        <v>15.947467166979362</v>
      </c>
      <c r="L9" s="160">
        <f>IF(L8&lt;0,0,L8/G7)</f>
        <v>15.947467166979362</v>
      </c>
    </row>
    <row r="10" spans="2:14" x14ac:dyDescent="0.25">
      <c r="B10" s="226"/>
      <c r="C10" s="194"/>
      <c r="D10" s="191" t="s">
        <v>193</v>
      </c>
      <c r="E10" s="234">
        <f>+Assumptions!B7</f>
        <v>0.5</v>
      </c>
      <c r="F10" s="192"/>
      <c r="G10" s="191"/>
      <c r="H10" s="195">
        <f>+L12</f>
        <v>3</v>
      </c>
      <c r="I10" s="162"/>
      <c r="J10" s="163" t="s">
        <v>190</v>
      </c>
      <c r="K10" s="233">
        <f>+Assumptions!B6*ModelParcel!K9</f>
        <v>2.0731707317073171</v>
      </c>
    </row>
    <row r="11" spans="2:14" x14ac:dyDescent="0.25">
      <c r="B11" s="226"/>
      <c r="C11" s="194"/>
      <c r="D11" s="191" t="s">
        <v>194</v>
      </c>
      <c r="E11" s="192"/>
      <c r="F11" s="192"/>
      <c r="G11" s="191"/>
      <c r="H11" s="195">
        <f>SUM(H9:H10)+H14</f>
        <v>5</v>
      </c>
      <c r="I11" s="162"/>
      <c r="J11" s="163" t="s">
        <v>191</v>
      </c>
      <c r="L11" s="160">
        <f>H2*ModelParcel!L9</f>
        <v>3.1894934333958727</v>
      </c>
    </row>
    <row r="12" spans="2:14" x14ac:dyDescent="0.25">
      <c r="B12" s="226"/>
      <c r="C12" s="176"/>
      <c r="D12" s="191" t="s">
        <v>195</v>
      </c>
      <c r="E12" s="192"/>
      <c r="F12" s="192"/>
      <c r="G12" s="191"/>
      <c r="H12" s="235">
        <f>(H11+H14)/H7</f>
        <v>0.15625</v>
      </c>
      <c r="I12" s="162"/>
      <c r="J12" s="163" t="s">
        <v>198</v>
      </c>
      <c r="K12" s="150">
        <f>+ROUND(K10,0)</f>
        <v>2</v>
      </c>
      <c r="L12" s="140">
        <f>+ROUND(L11,0)</f>
        <v>3</v>
      </c>
    </row>
    <row r="13" spans="2:14" x14ac:dyDescent="0.25">
      <c r="B13" s="226"/>
      <c r="C13" s="194"/>
      <c r="D13" s="191" t="s">
        <v>17</v>
      </c>
      <c r="E13" s="192"/>
      <c r="F13" s="192"/>
      <c r="G13" s="191"/>
      <c r="H13" s="196">
        <f>+SUM(H9:H10)/H11</f>
        <v>1</v>
      </c>
      <c r="I13" s="163"/>
      <c r="J13" s="163" t="s">
        <v>199</v>
      </c>
      <c r="K13" s="233">
        <f>+K12-K10</f>
        <v>-7.3170731707317138E-2</v>
      </c>
      <c r="L13" s="233">
        <f>+L12-L11</f>
        <v>-0.18949343339587266</v>
      </c>
    </row>
    <row r="14" spans="2:14" x14ac:dyDescent="0.25">
      <c r="B14" s="226"/>
      <c r="C14" s="194"/>
      <c r="D14" s="191" t="s">
        <v>25</v>
      </c>
      <c r="E14" s="192"/>
      <c r="F14" s="192"/>
      <c r="G14" s="191"/>
      <c r="H14" s="195">
        <v>0</v>
      </c>
      <c r="I14" s="163"/>
      <c r="J14" s="163" t="s">
        <v>196</v>
      </c>
      <c r="K14" s="160">
        <f>+K10+L11</f>
        <v>5.2626641651031898</v>
      </c>
      <c r="N14" s="254"/>
    </row>
    <row r="15" spans="2:14" x14ac:dyDescent="0.25">
      <c r="B15" s="226"/>
      <c r="C15" s="181"/>
      <c r="D15" s="191" t="s">
        <v>26</v>
      </c>
      <c r="E15" s="192"/>
      <c r="F15" s="192"/>
      <c r="G15" s="191"/>
      <c r="H15" s="197">
        <v>300000</v>
      </c>
      <c r="I15" s="163"/>
      <c r="J15" s="163" t="s">
        <v>145</v>
      </c>
      <c r="K15">
        <f>+ROUND(K14,0)</f>
        <v>5</v>
      </c>
    </row>
    <row r="16" spans="2:14" x14ac:dyDescent="0.25">
      <c r="B16" s="226"/>
      <c r="C16" s="181"/>
      <c r="D16" s="191" t="s">
        <v>27</v>
      </c>
      <c r="E16" s="192"/>
      <c r="F16" s="192"/>
      <c r="G16" s="191"/>
      <c r="H16" s="197">
        <v>0</v>
      </c>
      <c r="I16" s="163"/>
      <c r="J16" s="163" t="s">
        <v>197</v>
      </c>
      <c r="K16" s="233">
        <f>+K14-K15</f>
        <v>0.2626641651031898</v>
      </c>
    </row>
    <row r="17" spans="2:11" ht="15.75" thickBot="1" x14ac:dyDescent="0.3">
      <c r="B17" s="226"/>
      <c r="C17" s="198"/>
      <c r="D17" s="194"/>
      <c r="E17" s="194"/>
      <c r="F17" s="198"/>
      <c r="G17" s="194"/>
      <c r="H17" s="199"/>
      <c r="I17" s="163"/>
      <c r="J17" s="163" t="s">
        <v>200</v>
      </c>
      <c r="K17" s="160">
        <f>IF(K16&gt;0,-(K13-L13),K13-L13)</f>
        <v>-0.11632270168855552</v>
      </c>
    </row>
    <row r="18" spans="2:11" ht="15.75" thickBot="1" x14ac:dyDescent="0.3">
      <c r="B18" s="226"/>
      <c r="C18" s="200" t="s">
        <v>28</v>
      </c>
      <c r="D18" s="200" t="s">
        <v>29</v>
      </c>
      <c r="E18" s="201"/>
      <c r="F18" s="202">
        <f>+Assumptions!B42</f>
        <v>0.06</v>
      </c>
      <c r="G18" s="203" t="s">
        <v>30</v>
      </c>
      <c r="H18" s="250">
        <f>+F67</f>
        <v>5.9560561159394787E-2</v>
      </c>
      <c r="I18" s="163"/>
      <c r="J18" s="163" t="s">
        <v>201</v>
      </c>
      <c r="K18">
        <v>3</v>
      </c>
    </row>
    <row r="19" spans="2:11" ht="15.75" thickBot="1" x14ac:dyDescent="0.3">
      <c r="B19" s="226"/>
      <c r="C19" s="176"/>
      <c r="D19" s="181"/>
      <c r="E19" s="194"/>
      <c r="F19" s="198"/>
      <c r="G19" s="194"/>
      <c r="H19" s="204"/>
      <c r="I19" s="163"/>
      <c r="J19" s="163" t="s">
        <v>202</v>
      </c>
      <c r="K19">
        <v>5</v>
      </c>
    </row>
    <row r="20" spans="2:11" x14ac:dyDescent="0.25">
      <c r="B20" s="205" t="s">
        <v>33</v>
      </c>
      <c r="C20" s="206"/>
      <c r="D20" s="206"/>
      <c r="E20" s="206"/>
      <c r="F20" s="206"/>
      <c r="G20" s="206"/>
      <c r="H20" s="207"/>
      <c r="I20" s="163"/>
    </row>
    <row r="21" spans="2:11" x14ac:dyDescent="0.25">
      <c r="B21" s="62" t="s">
        <v>34</v>
      </c>
      <c r="C21" s="63"/>
      <c r="D21" s="64" t="s">
        <v>35</v>
      </c>
      <c r="E21" s="64" t="s">
        <v>36</v>
      </c>
      <c r="F21" s="64" t="s">
        <v>37</v>
      </c>
      <c r="G21" s="64" t="s">
        <v>38</v>
      </c>
      <c r="H21" s="65" t="s">
        <v>39</v>
      </c>
      <c r="I21" s="163"/>
      <c r="J21" s="248" t="s">
        <v>214</v>
      </c>
      <c r="K21" s="249" t="str">
        <f>+IF(H18&lt;Assumptions!B42,"Unfeasible","Feasible")</f>
        <v>Unfeasible</v>
      </c>
    </row>
    <row r="22" spans="2:11" x14ac:dyDescent="0.25">
      <c r="B22" s="259" t="s">
        <v>40</v>
      </c>
      <c r="C22" s="198" t="s">
        <v>41</v>
      </c>
      <c r="D22" s="208">
        <f>+H7-SUM(H9:H10)</f>
        <v>27</v>
      </c>
      <c r="E22" s="209">
        <f>+Assumptions!B12</f>
        <v>799.5</v>
      </c>
      <c r="F22" s="210">
        <f>+G22*E22</f>
        <v>2727.15</v>
      </c>
      <c r="G22" s="211">
        <f>+Assumptions!B17</f>
        <v>3.4110694183864916</v>
      </c>
      <c r="H22" s="212">
        <f>+D22*F22*12</f>
        <v>883596.60000000009</v>
      </c>
      <c r="I22" s="163"/>
      <c r="J22" s="163" t="s">
        <v>145</v>
      </c>
      <c r="K22">
        <f>+IF(H$18&lt;Assumptions!B$42,0,H7)</f>
        <v>0</v>
      </c>
    </row>
    <row r="23" spans="2:11" x14ac:dyDescent="0.25">
      <c r="B23" s="260" t="s">
        <v>203</v>
      </c>
      <c r="C23" s="213">
        <f>+E9</f>
        <v>0.7</v>
      </c>
      <c r="D23" s="208">
        <f>H9</f>
        <v>2</v>
      </c>
      <c r="E23" s="209">
        <f>+Assumptions!B12</f>
        <v>799.5</v>
      </c>
      <c r="F23" s="210">
        <f>+G23*E23</f>
        <v>1284.56</v>
      </c>
      <c r="G23" s="211">
        <f>+Assumptions!B18</f>
        <v>1.6067041901188241</v>
      </c>
      <c r="H23" s="212">
        <f>+F23*D23*12</f>
        <v>30829.439999999999</v>
      </c>
      <c r="I23" s="163"/>
      <c r="J23" s="163" t="s">
        <v>215</v>
      </c>
      <c r="K23">
        <f>+IF(H$18&lt;Assumptions!B$42,0,D22)</f>
        <v>0</v>
      </c>
    </row>
    <row r="24" spans="2:11" x14ac:dyDescent="0.25">
      <c r="B24" s="260" t="s">
        <v>204</v>
      </c>
      <c r="C24" s="213">
        <f>+E10</f>
        <v>0.5</v>
      </c>
      <c r="D24" s="208">
        <f>+H10</f>
        <v>3</v>
      </c>
      <c r="E24" s="209">
        <f>+Assumptions!B12</f>
        <v>799.5</v>
      </c>
      <c r="F24" s="210">
        <f>+G24*E24</f>
        <v>917.04999999999984</v>
      </c>
      <c r="G24" s="211">
        <f>+Assumptions!B19</f>
        <v>1.1470293933708566</v>
      </c>
      <c r="H24" s="212">
        <f>+F24*D24*12</f>
        <v>33013.799999999996</v>
      </c>
      <c r="I24" s="163"/>
      <c r="J24" s="163" t="s">
        <v>203</v>
      </c>
      <c r="K24">
        <f>+IF(H$18&lt;Assumptions!B$42,0,D23)</f>
        <v>0</v>
      </c>
    </row>
    <row r="25" spans="2:11" x14ac:dyDescent="0.25">
      <c r="B25" s="259" t="s">
        <v>46</v>
      </c>
      <c r="C25" s="198" t="s">
        <v>47</v>
      </c>
      <c r="D25" s="209">
        <v>0</v>
      </c>
      <c r="E25" s="209">
        <v>0</v>
      </c>
      <c r="F25" s="211">
        <v>0</v>
      </c>
      <c r="G25" s="211">
        <v>0</v>
      </c>
      <c r="H25" s="212">
        <f>+G25*E25*D25</f>
        <v>0</v>
      </c>
      <c r="I25" s="163"/>
      <c r="J25" s="163" t="s">
        <v>204</v>
      </c>
      <c r="K25">
        <f>+IF(H$18&lt;Assumptions!B$42,0,D24)</f>
        <v>0</v>
      </c>
    </row>
    <row r="26" spans="2:11" x14ac:dyDescent="0.25">
      <c r="B26" s="259"/>
      <c r="C26" s="198" t="s">
        <v>48</v>
      </c>
      <c r="D26" s="209">
        <v>0</v>
      </c>
      <c r="E26" s="209">
        <v>5000</v>
      </c>
      <c r="F26" s="211">
        <f>+G26/12</f>
        <v>0</v>
      </c>
      <c r="G26" s="211">
        <v>0</v>
      </c>
      <c r="H26" s="212">
        <f>+G26*E26*D26</f>
        <v>0</v>
      </c>
      <c r="I26" s="163"/>
      <c r="J26" s="163"/>
    </row>
    <row r="27" spans="2:11" x14ac:dyDescent="0.25">
      <c r="B27" s="261" t="s">
        <v>49</v>
      </c>
      <c r="C27" s="214"/>
      <c r="D27" s="215">
        <f>+H7*H8</f>
        <v>16</v>
      </c>
      <c r="E27" s="216"/>
      <c r="F27" s="216"/>
      <c r="G27" s="216">
        <f>+Assumptions!B26</f>
        <v>325</v>
      </c>
      <c r="H27" s="217">
        <f>+D27*G27*12</f>
        <v>62400</v>
      </c>
      <c r="I27" s="163"/>
      <c r="J27" s="163"/>
    </row>
    <row r="28" spans="2:11" x14ac:dyDescent="0.25">
      <c r="B28" s="259" t="s">
        <v>50</v>
      </c>
      <c r="C28" s="198"/>
      <c r="D28" s="208">
        <f>+H7</f>
        <v>32</v>
      </c>
      <c r="E28" s="209">
        <f>(E22*D22)+(E23*D23)+(D24*E24)</f>
        <v>25584</v>
      </c>
      <c r="F28" s="211"/>
      <c r="G28" s="210"/>
      <c r="H28" s="212">
        <f>SUM(H22:H27)</f>
        <v>1009839.8400000001</v>
      </c>
      <c r="I28" s="163"/>
      <c r="J28" s="163"/>
    </row>
    <row r="29" spans="2:11" x14ac:dyDescent="0.25">
      <c r="B29" s="259" t="s">
        <v>51</v>
      </c>
      <c r="C29" s="198"/>
      <c r="D29" s="218">
        <v>0.85</v>
      </c>
      <c r="E29" s="209">
        <f>+H6</f>
        <v>30000</v>
      </c>
      <c r="F29" s="210"/>
      <c r="G29" s="210"/>
      <c r="H29" s="212"/>
      <c r="I29" s="163"/>
      <c r="J29" s="163"/>
    </row>
    <row r="30" spans="2:11" x14ac:dyDescent="0.25">
      <c r="B30" s="259" t="s">
        <v>52</v>
      </c>
      <c r="C30" s="198"/>
      <c r="D30" s="218">
        <v>1</v>
      </c>
      <c r="E30" s="209">
        <f>(E25*D25)+(D26*E26)</f>
        <v>0</v>
      </c>
      <c r="F30" s="210"/>
      <c r="G30" s="210"/>
      <c r="H30" s="212"/>
      <c r="I30" s="163"/>
      <c r="J30" s="163"/>
    </row>
    <row r="31" spans="2:11" x14ac:dyDescent="0.25">
      <c r="B31" s="259"/>
      <c r="C31" s="198"/>
      <c r="D31" s="209"/>
      <c r="E31" s="210"/>
      <c r="F31" s="210"/>
      <c r="G31" s="210"/>
      <c r="H31" s="212"/>
      <c r="I31" s="163"/>
      <c r="J31" s="163"/>
    </row>
    <row r="32" spans="2:11" x14ac:dyDescent="0.25">
      <c r="B32" s="219" t="s">
        <v>53</v>
      </c>
      <c r="C32" s="198" t="str">
        <f>+C22</f>
        <v>Market Rate</v>
      </c>
      <c r="D32" s="209"/>
      <c r="E32" s="210"/>
      <c r="F32" s="210"/>
      <c r="G32" s="220">
        <f>+Assumptions!B21</f>
        <v>7.0000000000000007E-2</v>
      </c>
      <c r="H32" s="212">
        <f>-G32*H22</f>
        <v>-61851.76200000001</v>
      </c>
      <c r="I32" s="163"/>
      <c r="J32" s="163"/>
    </row>
    <row r="33" spans="2:16" ht="12.75" customHeight="1" x14ac:dyDescent="0.25">
      <c r="B33" s="259"/>
      <c r="C33" s="198" t="s">
        <v>205</v>
      </c>
      <c r="D33" s="209"/>
      <c r="E33" s="210"/>
      <c r="F33" s="210"/>
      <c r="G33" s="220">
        <f>+Assumptions!B22</f>
        <v>0</v>
      </c>
      <c r="H33" s="212">
        <f>-G33*(H23+H24)</f>
        <v>0</v>
      </c>
      <c r="I33" s="163"/>
      <c r="J33" s="263"/>
      <c r="K33" s="151"/>
      <c r="L33" s="151"/>
      <c r="M33" s="151"/>
      <c r="N33" s="151"/>
      <c r="O33" s="151"/>
      <c r="P33" s="151"/>
    </row>
    <row r="34" spans="2:16" ht="12.75" customHeight="1" x14ac:dyDescent="0.25">
      <c r="B34" s="259"/>
      <c r="C34" s="198" t="str">
        <f>+C25</f>
        <v>Market Rate Retail</v>
      </c>
      <c r="D34" s="209"/>
      <c r="E34" s="210"/>
      <c r="F34" s="210"/>
      <c r="G34" s="220">
        <v>0.1</v>
      </c>
      <c r="H34" s="212">
        <f>-G34*H25</f>
        <v>0</v>
      </c>
      <c r="I34" s="163"/>
      <c r="J34" s="263"/>
      <c r="K34" s="151"/>
      <c r="L34" s="264"/>
      <c r="M34" s="151"/>
      <c r="N34" s="151"/>
      <c r="O34" s="151"/>
      <c r="P34" s="151"/>
    </row>
    <row r="35" spans="2:16" x14ac:dyDescent="0.25">
      <c r="B35" s="261"/>
      <c r="C35" s="214" t="str">
        <f>+C26</f>
        <v>Affordable Innovation</v>
      </c>
      <c r="D35" s="215"/>
      <c r="E35" s="216"/>
      <c r="F35" s="216"/>
      <c r="G35" s="221">
        <v>0.2</v>
      </c>
      <c r="H35" s="217">
        <f>-G35*H26</f>
        <v>0</v>
      </c>
      <c r="I35" s="163"/>
      <c r="J35" s="263"/>
      <c r="K35" s="151"/>
      <c r="L35" s="264"/>
      <c r="M35" s="151"/>
      <c r="N35" s="151"/>
      <c r="O35" s="151"/>
      <c r="P35" s="151"/>
    </row>
    <row r="36" spans="2:16" x14ac:dyDescent="0.25">
      <c r="B36" s="259" t="s">
        <v>54</v>
      </c>
      <c r="C36" s="198"/>
      <c r="D36" s="209"/>
      <c r="E36" s="210"/>
      <c r="F36" s="210"/>
      <c r="G36" s="220"/>
      <c r="H36" s="212">
        <f>SUM(H32:H35)</f>
        <v>-61851.76200000001</v>
      </c>
      <c r="I36" s="163"/>
      <c r="J36" s="263"/>
      <c r="K36" s="151"/>
      <c r="L36" s="151"/>
      <c r="M36" s="151"/>
      <c r="N36" s="151"/>
      <c r="O36" s="151"/>
      <c r="P36" s="151"/>
    </row>
    <row r="37" spans="2:16" s="83" customFormat="1" x14ac:dyDescent="0.25">
      <c r="B37" s="259"/>
      <c r="C37" s="194"/>
      <c r="D37" s="198"/>
      <c r="E37" s="198"/>
      <c r="F37" s="223"/>
      <c r="G37" s="236"/>
      <c r="H37" s="212"/>
      <c r="I37" s="222"/>
      <c r="J37" s="198"/>
      <c r="K37" s="49"/>
      <c r="L37" s="49"/>
      <c r="M37" s="49"/>
      <c r="N37" s="49"/>
      <c r="O37" s="49"/>
      <c r="P37" s="49"/>
    </row>
    <row r="38" spans="2:16" x14ac:dyDescent="0.25">
      <c r="B38" s="219" t="s">
        <v>55</v>
      </c>
      <c r="C38" s="198"/>
      <c r="D38" s="209"/>
      <c r="E38" s="210"/>
      <c r="F38" s="210"/>
      <c r="G38" s="210"/>
      <c r="H38" s="212">
        <f>+H28+H36</f>
        <v>947988.0780000001</v>
      </c>
      <c r="I38" s="163"/>
      <c r="J38" s="263"/>
      <c r="K38" s="151"/>
      <c r="L38" s="151"/>
      <c r="M38" s="151"/>
      <c r="N38" s="151"/>
      <c r="O38" s="151"/>
      <c r="P38" s="151"/>
    </row>
    <row r="39" spans="2:16" x14ac:dyDescent="0.25">
      <c r="B39" s="259"/>
      <c r="C39" s="198"/>
      <c r="D39" s="209"/>
      <c r="E39" s="210"/>
      <c r="F39" s="210"/>
      <c r="G39" s="210"/>
      <c r="H39" s="212"/>
      <c r="I39" s="163"/>
      <c r="J39" s="263"/>
      <c r="K39" s="151"/>
      <c r="L39" s="151"/>
      <c r="M39" s="151"/>
      <c r="N39" s="151"/>
      <c r="O39" s="151"/>
      <c r="P39" s="151"/>
    </row>
    <row r="40" spans="2:16" x14ac:dyDescent="0.25">
      <c r="B40" s="219" t="s">
        <v>56</v>
      </c>
      <c r="C40" s="198"/>
      <c r="D40" s="198"/>
      <c r="E40" s="198"/>
      <c r="F40" s="210"/>
      <c r="G40" s="198"/>
      <c r="H40" s="212"/>
      <c r="I40" s="163"/>
      <c r="J40" s="263"/>
      <c r="K40" s="151"/>
      <c r="L40" s="151"/>
      <c r="M40" s="151"/>
      <c r="N40" s="151"/>
      <c r="O40" s="151"/>
      <c r="P40" s="151"/>
    </row>
    <row r="41" spans="2:16" x14ac:dyDescent="0.25">
      <c r="B41" s="259" t="s">
        <v>57</v>
      </c>
      <c r="C41" s="198" t="s">
        <v>58</v>
      </c>
      <c r="D41" s="198"/>
      <c r="E41" s="198"/>
      <c r="F41" s="210">
        <f>+Assumptions!B23</f>
        <v>6000</v>
      </c>
      <c r="G41" s="210" t="s">
        <v>59</v>
      </c>
      <c r="H41" s="212">
        <f>-F41*D28</f>
        <v>-192000</v>
      </c>
      <c r="I41" s="163"/>
      <c r="J41" s="263"/>
      <c r="K41" s="151"/>
      <c r="L41" s="151"/>
      <c r="M41" s="151"/>
      <c r="N41" s="151"/>
      <c r="O41" s="151"/>
      <c r="P41" s="151"/>
    </row>
    <row r="42" spans="2:16" x14ac:dyDescent="0.25">
      <c r="B42" s="259"/>
      <c r="C42" s="198" t="s">
        <v>60</v>
      </c>
      <c r="D42" s="218">
        <f>+Assumptions!B24</f>
        <v>7.0000000000000007E-2</v>
      </c>
      <c r="E42" s="198" t="s">
        <v>61</v>
      </c>
      <c r="F42" s="210">
        <f>ROUND(-H42/D28,-1)</f>
        <v>2140</v>
      </c>
      <c r="G42" s="210" t="s">
        <v>59</v>
      </c>
      <c r="H42" s="212">
        <f>(H22+H23+H27)*-D42</f>
        <v>-68377.822800000009</v>
      </c>
      <c r="I42" s="163"/>
      <c r="J42" s="265"/>
      <c r="K42" s="151"/>
      <c r="L42" s="151"/>
      <c r="M42" s="151"/>
      <c r="N42" s="151"/>
      <c r="O42" s="151"/>
      <c r="P42" s="151"/>
    </row>
    <row r="43" spans="2:16" x14ac:dyDescent="0.25">
      <c r="B43" s="259"/>
      <c r="C43" s="198" t="s">
        <v>62</v>
      </c>
      <c r="D43" s="220">
        <f>+Assumptions!B25</f>
        <v>2.5000000000000001E-2</v>
      </c>
      <c r="E43" s="198" t="s">
        <v>63</v>
      </c>
      <c r="F43" s="210">
        <f>-H43/D28</f>
        <v>709.72516968750006</v>
      </c>
      <c r="G43" s="210" t="s">
        <v>59</v>
      </c>
      <c r="H43" s="212">
        <f>-D43*((H22+H23+H27)*(1-G32))</f>
        <v>-22711.205430000002</v>
      </c>
      <c r="I43" s="163"/>
      <c r="J43" s="263"/>
      <c r="K43" s="151"/>
      <c r="L43" s="151"/>
      <c r="M43" s="151"/>
      <c r="N43" s="151"/>
      <c r="O43" s="151"/>
      <c r="P43" s="151"/>
    </row>
    <row r="44" spans="2:16" x14ac:dyDescent="0.25">
      <c r="B44" s="259"/>
      <c r="C44" s="198" t="s">
        <v>64</v>
      </c>
      <c r="D44" s="198"/>
      <c r="E44" s="198"/>
      <c r="F44" s="210">
        <f>+Assumptions!B26</f>
        <v>325</v>
      </c>
      <c r="G44" s="210" t="s">
        <v>59</v>
      </c>
      <c r="H44" s="212">
        <f>-F44*D28</f>
        <v>-10400</v>
      </c>
      <c r="I44" s="162"/>
      <c r="J44" s="176"/>
      <c r="K44" s="151"/>
      <c r="L44" s="151"/>
      <c r="M44" s="151"/>
      <c r="N44" s="151"/>
      <c r="O44" s="151"/>
      <c r="P44" s="151"/>
    </row>
    <row r="45" spans="2:16" x14ac:dyDescent="0.25">
      <c r="B45" s="261" t="s">
        <v>46</v>
      </c>
      <c r="C45" s="224"/>
      <c r="D45" s="214"/>
      <c r="E45" s="214"/>
      <c r="F45" s="225"/>
      <c r="G45" s="214"/>
      <c r="H45" s="217"/>
      <c r="I45" s="162"/>
      <c r="J45" s="176"/>
      <c r="K45" s="151"/>
      <c r="L45" s="151"/>
      <c r="M45" s="151"/>
      <c r="N45" s="151"/>
      <c r="O45" s="151"/>
      <c r="P45" s="151"/>
    </row>
    <row r="46" spans="2:16" x14ac:dyDescent="0.25">
      <c r="B46" s="259" t="s">
        <v>67</v>
      </c>
      <c r="C46" s="198"/>
      <c r="D46" s="218">
        <f>-H46/H38</f>
        <v>0.30959147592782282</v>
      </c>
      <c r="E46" s="210" t="s">
        <v>68</v>
      </c>
      <c r="F46" s="210">
        <f>-H46/D28</f>
        <v>9171.5321321875017</v>
      </c>
      <c r="G46" s="210" t="s">
        <v>59</v>
      </c>
      <c r="H46" s="212">
        <f>SUM(H41:H45)</f>
        <v>-293489.02823000005</v>
      </c>
      <c r="I46" s="251"/>
      <c r="J46" s="266"/>
      <c r="K46" s="267"/>
      <c r="L46" s="267"/>
      <c r="M46" s="151"/>
      <c r="N46" s="151"/>
      <c r="O46" s="151"/>
      <c r="P46" s="151"/>
    </row>
    <row r="47" spans="2:16" x14ac:dyDescent="0.25">
      <c r="B47" s="259"/>
      <c r="C47" s="198"/>
      <c r="D47" s="198"/>
      <c r="E47" s="176"/>
      <c r="F47" s="198"/>
      <c r="G47" s="198"/>
      <c r="H47" s="212"/>
      <c r="I47" s="162"/>
      <c r="J47" s="176"/>
      <c r="K47" s="151"/>
      <c r="L47" s="151"/>
      <c r="M47" s="151"/>
      <c r="N47" s="151"/>
      <c r="O47" s="151"/>
      <c r="P47" s="151"/>
    </row>
    <row r="48" spans="2:16" x14ac:dyDescent="0.25">
      <c r="B48" s="219" t="s">
        <v>69</v>
      </c>
      <c r="C48" s="198"/>
      <c r="D48" s="218">
        <f>+H48/H38</f>
        <v>0.69040852407217723</v>
      </c>
      <c r="E48" s="210" t="s">
        <v>68</v>
      </c>
      <c r="F48" s="210">
        <f>+H48/D28</f>
        <v>20453.095305312501</v>
      </c>
      <c r="G48" s="210" t="s">
        <v>59</v>
      </c>
      <c r="H48" s="212">
        <f>+H38+H46</f>
        <v>654499.04977000004</v>
      </c>
      <c r="I48" s="162"/>
      <c r="J48" s="268"/>
      <c r="K48" s="32"/>
      <c r="L48" s="151"/>
      <c r="M48" s="151"/>
      <c r="N48" s="151"/>
      <c r="O48" s="151"/>
      <c r="P48" s="151"/>
    </row>
    <row r="49" spans="2:16" x14ac:dyDescent="0.25">
      <c r="B49" s="226"/>
      <c r="C49" s="198"/>
      <c r="D49" s="198"/>
      <c r="E49" s="198"/>
      <c r="F49" s="198"/>
      <c r="G49" s="198"/>
      <c r="H49" s="212"/>
      <c r="I49" s="162"/>
      <c r="J49" s="268"/>
      <c r="K49" s="32"/>
      <c r="L49" s="151"/>
      <c r="M49" s="151"/>
      <c r="N49" s="151"/>
      <c r="O49" s="151"/>
      <c r="P49" s="151"/>
    </row>
    <row r="50" spans="2:16" x14ac:dyDescent="0.25">
      <c r="B50" s="219" t="s">
        <v>72</v>
      </c>
      <c r="C50" s="198"/>
      <c r="D50" s="198"/>
      <c r="E50" s="198"/>
      <c r="F50" s="198"/>
      <c r="G50" s="198"/>
      <c r="H50" s="212"/>
      <c r="I50" s="162"/>
      <c r="J50" s="269"/>
      <c r="K50" s="32"/>
      <c r="L50" s="151"/>
      <c r="M50" s="151"/>
      <c r="N50" s="151"/>
      <c r="O50" s="151"/>
      <c r="P50" s="151"/>
    </row>
    <row r="51" spans="2:16" x14ac:dyDescent="0.25">
      <c r="B51" s="259" t="s">
        <v>74</v>
      </c>
      <c r="C51" s="198"/>
      <c r="D51" s="198"/>
      <c r="E51" s="227" t="s">
        <v>75</v>
      </c>
      <c r="F51" s="220">
        <f>+Assumptions!B44</f>
        <v>0.05</v>
      </c>
      <c r="G51" s="198" t="s">
        <v>76</v>
      </c>
      <c r="H51" s="212">
        <f>+H48/F51</f>
        <v>13089980.9954</v>
      </c>
      <c r="I51" s="162"/>
      <c r="J51" s="269"/>
      <c r="K51" s="32"/>
      <c r="L51" s="151"/>
      <c r="M51" s="151"/>
      <c r="N51" s="151"/>
      <c r="O51" s="151"/>
      <c r="P51" s="151"/>
    </row>
    <row r="52" spans="2:16" x14ac:dyDescent="0.25">
      <c r="B52" s="259"/>
      <c r="C52" s="198"/>
      <c r="D52" s="198"/>
      <c r="E52" s="198"/>
      <c r="F52" s="198"/>
      <c r="G52" s="227" t="s">
        <v>80</v>
      </c>
      <c r="H52" s="212">
        <f>+H51/E29</f>
        <v>436.33269984666669</v>
      </c>
      <c r="I52" s="162"/>
      <c r="J52" s="270"/>
      <c r="K52" s="32"/>
      <c r="L52" s="151"/>
      <c r="M52" s="151"/>
      <c r="N52" s="151"/>
      <c r="O52" s="151"/>
      <c r="P52" s="151"/>
    </row>
    <row r="53" spans="2:16" x14ac:dyDescent="0.25">
      <c r="B53" s="259"/>
      <c r="C53" s="198"/>
      <c r="D53" s="198"/>
      <c r="E53" s="198"/>
      <c r="F53" s="198"/>
      <c r="G53" s="227" t="s">
        <v>59</v>
      </c>
      <c r="H53" s="212">
        <f>+H51/D28</f>
        <v>409061.90610625001</v>
      </c>
      <c r="I53" s="162"/>
      <c r="J53" s="237"/>
      <c r="K53" s="151"/>
      <c r="L53" s="151"/>
      <c r="M53" s="151"/>
      <c r="N53" s="151"/>
      <c r="O53" s="151"/>
      <c r="P53" s="151"/>
    </row>
    <row r="54" spans="2:16" x14ac:dyDescent="0.25">
      <c r="B54" s="261"/>
      <c r="C54" s="214"/>
      <c r="D54" s="214"/>
      <c r="E54" s="214"/>
      <c r="F54" s="214"/>
      <c r="G54" s="229"/>
      <c r="H54" s="217"/>
      <c r="I54" s="162"/>
      <c r="J54" s="176"/>
      <c r="K54" s="151"/>
      <c r="L54" s="151"/>
      <c r="M54" s="151"/>
      <c r="N54" s="151"/>
      <c r="O54" s="151"/>
      <c r="P54" s="151"/>
    </row>
    <row r="55" spans="2:16" x14ac:dyDescent="0.25">
      <c r="B55" s="259"/>
      <c r="C55" s="198"/>
      <c r="D55" s="198"/>
      <c r="E55" s="198"/>
      <c r="F55" s="228"/>
      <c r="G55" s="198"/>
      <c r="H55" s="212"/>
      <c r="I55" s="162"/>
      <c r="J55" s="176"/>
      <c r="K55" s="151"/>
      <c r="L55" s="151"/>
      <c r="M55" s="151"/>
      <c r="N55" s="151"/>
      <c r="O55" s="151"/>
      <c r="P55" s="151"/>
    </row>
    <row r="56" spans="2:16" x14ac:dyDescent="0.25">
      <c r="B56" s="219" t="s">
        <v>81</v>
      </c>
      <c r="C56" s="198"/>
      <c r="D56" s="198"/>
      <c r="E56" s="198"/>
      <c r="F56" s="198"/>
      <c r="G56" s="198"/>
      <c r="H56" s="212"/>
      <c r="I56" s="162"/>
      <c r="J56" s="176"/>
      <c r="K56" s="151"/>
      <c r="L56" s="151"/>
      <c r="M56" s="151"/>
      <c r="N56" s="151"/>
      <c r="O56" s="151"/>
      <c r="P56" s="151"/>
    </row>
    <row r="57" spans="2:16" x14ac:dyDescent="0.25">
      <c r="B57" s="259" t="s">
        <v>82</v>
      </c>
      <c r="C57" s="198"/>
      <c r="D57" s="210">
        <f>+H57/D28</f>
        <v>42187.5</v>
      </c>
      <c r="E57" s="198" t="s">
        <v>59</v>
      </c>
      <c r="F57" s="211">
        <f>+Assumptions!B31</f>
        <v>90</v>
      </c>
      <c r="G57" s="198" t="s">
        <v>83</v>
      </c>
      <c r="H57" s="212">
        <f>+F57*H4</f>
        <v>1350000</v>
      </c>
      <c r="I57" s="162"/>
      <c r="J57" s="162"/>
    </row>
    <row r="58" spans="2:16" ht="12.75" customHeight="1" x14ac:dyDescent="0.25">
      <c r="B58" s="259" t="s">
        <v>84</v>
      </c>
      <c r="C58" s="198"/>
      <c r="D58" s="210">
        <v>300000</v>
      </c>
      <c r="E58" s="198" t="s">
        <v>59</v>
      </c>
      <c r="F58" s="255">
        <f>+IF(K14-H11&lt;=0,0,K14-H11)</f>
        <v>0.2626641651031898</v>
      </c>
      <c r="G58" s="198" t="s">
        <v>35</v>
      </c>
      <c r="H58" s="212">
        <f>+F58*D58</f>
        <v>78799.249530956935</v>
      </c>
      <c r="I58" s="162"/>
      <c r="J58" s="162"/>
    </row>
    <row r="59" spans="2:16" x14ac:dyDescent="0.25">
      <c r="B59" s="259" t="s">
        <v>57</v>
      </c>
      <c r="C59" s="198"/>
      <c r="D59" s="198"/>
      <c r="E59" s="198"/>
      <c r="F59" s="211">
        <f>+Assumptions!B32</f>
        <v>250</v>
      </c>
      <c r="G59" s="198" t="s">
        <v>85</v>
      </c>
      <c r="H59" s="212">
        <f>+F59*E29</f>
        <v>7500000</v>
      </c>
      <c r="I59" s="162"/>
      <c r="J59" s="163"/>
    </row>
    <row r="60" spans="2:16" x14ac:dyDescent="0.25">
      <c r="B60" s="259" t="s">
        <v>46</v>
      </c>
      <c r="C60" s="198"/>
      <c r="D60" s="198"/>
      <c r="E60" s="198"/>
      <c r="F60" s="211">
        <f>+Assumptions!B33</f>
        <v>280</v>
      </c>
      <c r="G60" s="198" t="s">
        <v>85</v>
      </c>
      <c r="H60" s="212">
        <f>F60*(E30)</f>
        <v>0</v>
      </c>
      <c r="I60" s="162"/>
      <c r="J60" s="163"/>
    </row>
    <row r="61" spans="2:16" x14ac:dyDescent="0.25">
      <c r="B61" s="259" t="s">
        <v>86</v>
      </c>
      <c r="C61" s="198" t="s">
        <v>87</v>
      </c>
      <c r="D61" s="209">
        <f>+D27</f>
        <v>16</v>
      </c>
      <c r="E61" s="176" t="s">
        <v>88</v>
      </c>
      <c r="F61" s="210">
        <f>+Assumptions!B34</f>
        <v>35000</v>
      </c>
      <c r="G61" s="198" t="s">
        <v>89</v>
      </c>
      <c r="H61" s="212">
        <f>+F61*D27</f>
        <v>560000</v>
      </c>
      <c r="I61" s="162"/>
      <c r="J61" s="163"/>
    </row>
    <row r="62" spans="2:16" x14ac:dyDescent="0.25">
      <c r="B62" s="261" t="s">
        <v>221</v>
      </c>
      <c r="C62" s="214"/>
      <c r="D62" s="214"/>
      <c r="E62" s="214"/>
      <c r="F62" s="225">
        <f>+Assumptions!B35</f>
        <v>0.2</v>
      </c>
      <c r="G62" s="214" t="s">
        <v>91</v>
      </c>
      <c r="H62" s="217">
        <f>(H59+H60)*F62</f>
        <v>1500000</v>
      </c>
      <c r="I62" s="162"/>
      <c r="J62" s="163"/>
    </row>
    <row r="63" spans="2:16" x14ac:dyDescent="0.25">
      <c r="B63" s="259"/>
      <c r="C63" s="198"/>
      <c r="D63" s="198"/>
      <c r="E63" s="198"/>
      <c r="F63" s="198"/>
      <c r="G63" s="227" t="s">
        <v>206</v>
      </c>
      <c r="H63" s="212">
        <f>SUM(H57:H62)</f>
        <v>10988799.249530956</v>
      </c>
      <c r="I63" s="162"/>
      <c r="J63" s="163"/>
    </row>
    <row r="64" spans="2:16" x14ac:dyDescent="0.25">
      <c r="B64" s="259"/>
      <c r="C64" s="198"/>
      <c r="D64" s="198"/>
      <c r="E64" s="198"/>
      <c r="F64" s="198"/>
      <c r="G64" s="227" t="s">
        <v>80</v>
      </c>
      <c r="H64" s="212">
        <f>+H63/(E29+E30)</f>
        <v>366.29330831769852</v>
      </c>
      <c r="I64" s="162"/>
      <c r="J64" s="163"/>
    </row>
    <row r="65" spans="2:10" x14ac:dyDescent="0.25">
      <c r="B65" s="259"/>
      <c r="C65" s="198"/>
      <c r="D65" s="198"/>
      <c r="E65" s="198"/>
      <c r="F65" s="198"/>
      <c r="G65" s="227" t="s">
        <v>59</v>
      </c>
      <c r="H65" s="212">
        <f>+H63/H7</f>
        <v>343399.97654784238</v>
      </c>
      <c r="I65" s="162"/>
      <c r="J65" s="163"/>
    </row>
    <row r="66" spans="2:10" x14ac:dyDescent="0.25">
      <c r="B66" s="259"/>
      <c r="C66" s="198"/>
      <c r="D66" s="198"/>
      <c r="E66" s="198"/>
      <c r="F66" s="198"/>
      <c r="G66" s="198"/>
      <c r="H66" s="212"/>
      <c r="I66" s="162"/>
      <c r="J66" s="163"/>
    </row>
    <row r="67" spans="2:10" x14ac:dyDescent="0.25">
      <c r="B67" s="226" t="s">
        <v>92</v>
      </c>
      <c r="C67" s="198"/>
      <c r="D67" s="198"/>
      <c r="E67" s="227" t="s">
        <v>93</v>
      </c>
      <c r="F67" s="228">
        <f>+H48/H63</f>
        <v>5.9560561159394787E-2</v>
      </c>
      <c r="G67" s="227" t="s">
        <v>94</v>
      </c>
      <c r="H67" s="212">
        <f>+H51-H63</f>
        <v>2101181.7458690442</v>
      </c>
      <c r="I67" s="162"/>
      <c r="J67" s="163"/>
    </row>
    <row r="68" spans="2:10" ht="15.75" thickBot="1" x14ac:dyDescent="0.3">
      <c r="B68" s="262"/>
      <c r="C68" s="230"/>
      <c r="D68" s="231"/>
      <c r="E68" s="231"/>
      <c r="F68" s="231"/>
      <c r="G68" s="230"/>
      <c r="H68" s="232"/>
      <c r="I68" s="162"/>
      <c r="J68" s="163"/>
    </row>
    <row r="69" spans="2:10" x14ac:dyDescent="0.25">
      <c r="B69" s="32"/>
      <c r="C69" s="32"/>
      <c r="D69" s="32"/>
      <c r="E69" s="32"/>
      <c r="F69" s="32"/>
      <c r="G69" s="32"/>
      <c r="H69" s="32"/>
      <c r="I69" s="1"/>
    </row>
  </sheetData>
  <sheetProtection algorithmName="SHA-512" hashValue="1Cjbizuv56uic5b2587Ij8wYi5ehzgNhVY/L1hp9LwX0AkE5m0tR8IeVjfDTUEY2nMsgQRjgU7fmFyb2VanSSw==" saltValue="G2YyEJZ1+yoxDKYZcKgFgA==" spinCount="100000" sheet="1" objects="1" scenarios="1"/>
  <mergeCells count="1">
    <mergeCell ref="K6:L6"/>
  </mergeCells>
  <pageMargins left="0.7" right="0.7" top="0.75" bottom="0.75" header="0.3" footer="0.3"/>
  <pageSetup scale="68" orientation="portrait" horizontalDpi="1200" verticalDpi="1200" r:id="rId1"/>
  <headerFooter>
    <oddFooter>&amp;L&amp;A&amp;C&amp;F&amp;R&amp;P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5"/>
  <sheetViews>
    <sheetView workbookViewId="0">
      <pane ySplit="1" topLeftCell="A756" activePane="bottomLeft" state="frozen"/>
      <selection pane="bottomLeft" activeCell="C800" sqref="C800"/>
    </sheetView>
  </sheetViews>
  <sheetFormatPr defaultRowHeight="15" x14ac:dyDescent="0.25"/>
  <cols>
    <col min="1" max="1" width="2.28515625" customWidth="1"/>
    <col min="2" max="2" width="31.28515625" customWidth="1"/>
    <col min="3" max="3" width="18.7109375" customWidth="1"/>
    <col min="4" max="4" width="9.28515625" customWidth="1"/>
    <col min="5" max="5" width="7.5703125" customWidth="1"/>
    <col min="6" max="6" width="12.5703125" customWidth="1"/>
    <col min="7" max="7" width="17.28515625" customWidth="1"/>
    <col min="8" max="8" width="19" customWidth="1"/>
    <col min="10" max="10" width="13" customWidth="1"/>
    <col min="11" max="11" width="12.42578125" customWidth="1"/>
    <col min="258" max="258" width="2.28515625" customWidth="1"/>
    <col min="259" max="259" width="16.5703125" customWidth="1"/>
    <col min="260" max="260" width="16" customWidth="1"/>
    <col min="261" max="261" width="14" customWidth="1"/>
    <col min="262" max="262" width="16" customWidth="1"/>
    <col min="263" max="263" width="15.85546875" customWidth="1"/>
    <col min="264" max="264" width="19" customWidth="1"/>
    <col min="267" max="267" width="10.7109375" bestFit="1" customWidth="1"/>
    <col min="514" max="514" width="2.28515625" customWidth="1"/>
    <col min="515" max="515" width="16.5703125" customWidth="1"/>
    <col min="516" max="516" width="16" customWidth="1"/>
    <col min="517" max="517" width="14" customWidth="1"/>
    <col min="518" max="518" width="16" customWidth="1"/>
    <col min="519" max="519" width="15.85546875" customWidth="1"/>
    <col min="520" max="520" width="19" customWidth="1"/>
    <col min="523" max="523" width="10.7109375" bestFit="1" customWidth="1"/>
    <col min="770" max="770" width="2.28515625" customWidth="1"/>
    <col min="771" max="771" width="16.5703125" customWidth="1"/>
    <col min="772" max="772" width="16" customWidth="1"/>
    <col min="773" max="773" width="14" customWidth="1"/>
    <col min="774" max="774" width="16" customWidth="1"/>
    <col min="775" max="775" width="15.85546875" customWidth="1"/>
    <col min="776" max="776" width="19" customWidth="1"/>
    <col min="779" max="779" width="10.7109375" bestFit="1" customWidth="1"/>
    <col min="1026" max="1026" width="2.28515625" customWidth="1"/>
    <col min="1027" max="1027" width="16.5703125" customWidth="1"/>
    <col min="1028" max="1028" width="16" customWidth="1"/>
    <col min="1029" max="1029" width="14" customWidth="1"/>
    <col min="1030" max="1030" width="16" customWidth="1"/>
    <col min="1031" max="1031" width="15.85546875" customWidth="1"/>
    <col min="1032" max="1032" width="19" customWidth="1"/>
    <col min="1035" max="1035" width="10.7109375" bestFit="1" customWidth="1"/>
    <col min="1282" max="1282" width="2.28515625" customWidth="1"/>
    <col min="1283" max="1283" width="16.5703125" customWidth="1"/>
    <col min="1284" max="1284" width="16" customWidth="1"/>
    <col min="1285" max="1285" width="14" customWidth="1"/>
    <col min="1286" max="1286" width="16" customWidth="1"/>
    <col min="1287" max="1287" width="15.85546875" customWidth="1"/>
    <col min="1288" max="1288" width="19" customWidth="1"/>
    <col min="1291" max="1291" width="10.7109375" bestFit="1" customWidth="1"/>
    <col min="1538" max="1538" width="2.28515625" customWidth="1"/>
    <col min="1539" max="1539" width="16.5703125" customWidth="1"/>
    <col min="1540" max="1540" width="16" customWidth="1"/>
    <col min="1541" max="1541" width="14" customWidth="1"/>
    <col min="1542" max="1542" width="16" customWidth="1"/>
    <col min="1543" max="1543" width="15.85546875" customWidth="1"/>
    <col min="1544" max="1544" width="19" customWidth="1"/>
    <col min="1547" max="1547" width="10.7109375" bestFit="1" customWidth="1"/>
    <col min="1794" max="1794" width="2.28515625" customWidth="1"/>
    <col min="1795" max="1795" width="16.5703125" customWidth="1"/>
    <col min="1796" max="1796" width="16" customWidth="1"/>
    <col min="1797" max="1797" width="14" customWidth="1"/>
    <col min="1798" max="1798" width="16" customWidth="1"/>
    <col min="1799" max="1799" width="15.85546875" customWidth="1"/>
    <col min="1800" max="1800" width="19" customWidth="1"/>
    <col min="1803" max="1803" width="10.7109375" bestFit="1" customWidth="1"/>
    <col min="2050" max="2050" width="2.28515625" customWidth="1"/>
    <col min="2051" max="2051" width="16.5703125" customWidth="1"/>
    <col min="2052" max="2052" width="16" customWidth="1"/>
    <col min="2053" max="2053" width="14" customWidth="1"/>
    <col min="2054" max="2054" width="16" customWidth="1"/>
    <col min="2055" max="2055" width="15.85546875" customWidth="1"/>
    <col min="2056" max="2056" width="19" customWidth="1"/>
    <col min="2059" max="2059" width="10.7109375" bestFit="1" customWidth="1"/>
    <col min="2306" max="2306" width="2.28515625" customWidth="1"/>
    <col min="2307" max="2307" width="16.5703125" customWidth="1"/>
    <col min="2308" max="2308" width="16" customWidth="1"/>
    <col min="2309" max="2309" width="14" customWidth="1"/>
    <col min="2310" max="2310" width="16" customWidth="1"/>
    <col min="2311" max="2311" width="15.85546875" customWidth="1"/>
    <col min="2312" max="2312" width="19" customWidth="1"/>
    <col min="2315" max="2315" width="10.7109375" bestFit="1" customWidth="1"/>
    <col min="2562" max="2562" width="2.28515625" customWidth="1"/>
    <col min="2563" max="2563" width="16.5703125" customWidth="1"/>
    <col min="2564" max="2564" width="16" customWidth="1"/>
    <col min="2565" max="2565" width="14" customWidth="1"/>
    <col min="2566" max="2566" width="16" customWidth="1"/>
    <col min="2567" max="2567" width="15.85546875" customWidth="1"/>
    <col min="2568" max="2568" width="19" customWidth="1"/>
    <col min="2571" max="2571" width="10.7109375" bestFit="1" customWidth="1"/>
    <col min="2818" max="2818" width="2.28515625" customWidth="1"/>
    <col min="2819" max="2819" width="16.5703125" customWidth="1"/>
    <col min="2820" max="2820" width="16" customWidth="1"/>
    <col min="2821" max="2821" width="14" customWidth="1"/>
    <col min="2822" max="2822" width="16" customWidth="1"/>
    <col min="2823" max="2823" width="15.85546875" customWidth="1"/>
    <col min="2824" max="2824" width="19" customWidth="1"/>
    <col min="2827" max="2827" width="10.7109375" bestFit="1" customWidth="1"/>
    <col min="3074" max="3074" width="2.28515625" customWidth="1"/>
    <col min="3075" max="3075" width="16.5703125" customWidth="1"/>
    <col min="3076" max="3076" width="16" customWidth="1"/>
    <col min="3077" max="3077" width="14" customWidth="1"/>
    <col min="3078" max="3078" width="16" customWidth="1"/>
    <col min="3079" max="3079" width="15.85546875" customWidth="1"/>
    <col min="3080" max="3080" width="19" customWidth="1"/>
    <col min="3083" max="3083" width="10.7109375" bestFit="1" customWidth="1"/>
    <col min="3330" max="3330" width="2.28515625" customWidth="1"/>
    <col min="3331" max="3331" width="16.5703125" customWidth="1"/>
    <col min="3332" max="3332" width="16" customWidth="1"/>
    <col min="3333" max="3333" width="14" customWidth="1"/>
    <col min="3334" max="3334" width="16" customWidth="1"/>
    <col min="3335" max="3335" width="15.85546875" customWidth="1"/>
    <col min="3336" max="3336" width="19" customWidth="1"/>
    <col min="3339" max="3339" width="10.7109375" bestFit="1" customWidth="1"/>
    <col min="3586" max="3586" width="2.28515625" customWidth="1"/>
    <col min="3587" max="3587" width="16.5703125" customWidth="1"/>
    <col min="3588" max="3588" width="16" customWidth="1"/>
    <col min="3589" max="3589" width="14" customWidth="1"/>
    <col min="3590" max="3590" width="16" customWidth="1"/>
    <col min="3591" max="3591" width="15.85546875" customWidth="1"/>
    <col min="3592" max="3592" width="19" customWidth="1"/>
    <col min="3595" max="3595" width="10.7109375" bestFit="1" customWidth="1"/>
    <col min="3842" max="3842" width="2.28515625" customWidth="1"/>
    <col min="3843" max="3843" width="16.5703125" customWidth="1"/>
    <col min="3844" max="3844" width="16" customWidth="1"/>
    <col min="3845" max="3845" width="14" customWidth="1"/>
    <col min="3846" max="3846" width="16" customWidth="1"/>
    <col min="3847" max="3847" width="15.85546875" customWidth="1"/>
    <col min="3848" max="3848" width="19" customWidth="1"/>
    <col min="3851" max="3851" width="10.7109375" bestFit="1" customWidth="1"/>
    <col min="4098" max="4098" width="2.28515625" customWidth="1"/>
    <col min="4099" max="4099" width="16.5703125" customWidth="1"/>
    <col min="4100" max="4100" width="16" customWidth="1"/>
    <col min="4101" max="4101" width="14" customWidth="1"/>
    <col min="4102" max="4102" width="16" customWidth="1"/>
    <col min="4103" max="4103" width="15.85546875" customWidth="1"/>
    <col min="4104" max="4104" width="19" customWidth="1"/>
    <col min="4107" max="4107" width="10.7109375" bestFit="1" customWidth="1"/>
    <col min="4354" max="4354" width="2.28515625" customWidth="1"/>
    <col min="4355" max="4355" width="16.5703125" customWidth="1"/>
    <col min="4356" max="4356" width="16" customWidth="1"/>
    <col min="4357" max="4357" width="14" customWidth="1"/>
    <col min="4358" max="4358" width="16" customWidth="1"/>
    <col min="4359" max="4359" width="15.85546875" customWidth="1"/>
    <col min="4360" max="4360" width="19" customWidth="1"/>
    <col min="4363" max="4363" width="10.7109375" bestFit="1" customWidth="1"/>
    <col min="4610" max="4610" width="2.28515625" customWidth="1"/>
    <col min="4611" max="4611" width="16.5703125" customWidth="1"/>
    <col min="4612" max="4612" width="16" customWidth="1"/>
    <col min="4613" max="4613" width="14" customWidth="1"/>
    <col min="4614" max="4614" width="16" customWidth="1"/>
    <col min="4615" max="4615" width="15.85546875" customWidth="1"/>
    <col min="4616" max="4616" width="19" customWidth="1"/>
    <col min="4619" max="4619" width="10.7109375" bestFit="1" customWidth="1"/>
    <col min="4866" max="4866" width="2.28515625" customWidth="1"/>
    <col min="4867" max="4867" width="16.5703125" customWidth="1"/>
    <col min="4868" max="4868" width="16" customWidth="1"/>
    <col min="4869" max="4869" width="14" customWidth="1"/>
    <col min="4870" max="4870" width="16" customWidth="1"/>
    <col min="4871" max="4871" width="15.85546875" customWidth="1"/>
    <col min="4872" max="4872" width="19" customWidth="1"/>
    <col min="4875" max="4875" width="10.7109375" bestFit="1" customWidth="1"/>
    <col min="5122" max="5122" width="2.28515625" customWidth="1"/>
    <col min="5123" max="5123" width="16.5703125" customWidth="1"/>
    <col min="5124" max="5124" width="16" customWidth="1"/>
    <col min="5125" max="5125" width="14" customWidth="1"/>
    <col min="5126" max="5126" width="16" customWidth="1"/>
    <col min="5127" max="5127" width="15.85546875" customWidth="1"/>
    <col min="5128" max="5128" width="19" customWidth="1"/>
    <col min="5131" max="5131" width="10.7109375" bestFit="1" customWidth="1"/>
    <col min="5378" max="5378" width="2.28515625" customWidth="1"/>
    <col min="5379" max="5379" width="16.5703125" customWidth="1"/>
    <col min="5380" max="5380" width="16" customWidth="1"/>
    <col min="5381" max="5381" width="14" customWidth="1"/>
    <col min="5382" max="5382" width="16" customWidth="1"/>
    <col min="5383" max="5383" width="15.85546875" customWidth="1"/>
    <col min="5384" max="5384" width="19" customWidth="1"/>
    <col min="5387" max="5387" width="10.7109375" bestFit="1" customWidth="1"/>
    <col min="5634" max="5634" width="2.28515625" customWidth="1"/>
    <col min="5635" max="5635" width="16.5703125" customWidth="1"/>
    <col min="5636" max="5636" width="16" customWidth="1"/>
    <col min="5637" max="5637" width="14" customWidth="1"/>
    <col min="5638" max="5638" width="16" customWidth="1"/>
    <col min="5639" max="5639" width="15.85546875" customWidth="1"/>
    <col min="5640" max="5640" width="19" customWidth="1"/>
    <col min="5643" max="5643" width="10.7109375" bestFit="1" customWidth="1"/>
    <col min="5890" max="5890" width="2.28515625" customWidth="1"/>
    <col min="5891" max="5891" width="16.5703125" customWidth="1"/>
    <col min="5892" max="5892" width="16" customWidth="1"/>
    <col min="5893" max="5893" width="14" customWidth="1"/>
    <col min="5894" max="5894" width="16" customWidth="1"/>
    <col min="5895" max="5895" width="15.85546875" customWidth="1"/>
    <col min="5896" max="5896" width="19" customWidth="1"/>
    <col min="5899" max="5899" width="10.7109375" bestFit="1" customWidth="1"/>
    <col min="6146" max="6146" width="2.28515625" customWidth="1"/>
    <col min="6147" max="6147" width="16.5703125" customWidth="1"/>
    <col min="6148" max="6148" width="16" customWidth="1"/>
    <col min="6149" max="6149" width="14" customWidth="1"/>
    <col min="6150" max="6150" width="16" customWidth="1"/>
    <col min="6151" max="6151" width="15.85546875" customWidth="1"/>
    <col min="6152" max="6152" width="19" customWidth="1"/>
    <col min="6155" max="6155" width="10.7109375" bestFit="1" customWidth="1"/>
    <col min="6402" max="6402" width="2.28515625" customWidth="1"/>
    <col min="6403" max="6403" width="16.5703125" customWidth="1"/>
    <col min="6404" max="6404" width="16" customWidth="1"/>
    <col min="6405" max="6405" width="14" customWidth="1"/>
    <col min="6406" max="6406" width="16" customWidth="1"/>
    <col min="6407" max="6407" width="15.85546875" customWidth="1"/>
    <col min="6408" max="6408" width="19" customWidth="1"/>
    <col min="6411" max="6411" width="10.7109375" bestFit="1" customWidth="1"/>
    <col min="6658" max="6658" width="2.28515625" customWidth="1"/>
    <col min="6659" max="6659" width="16.5703125" customWidth="1"/>
    <col min="6660" max="6660" width="16" customWidth="1"/>
    <col min="6661" max="6661" width="14" customWidth="1"/>
    <col min="6662" max="6662" width="16" customWidth="1"/>
    <col min="6663" max="6663" width="15.85546875" customWidth="1"/>
    <col min="6664" max="6664" width="19" customWidth="1"/>
    <col min="6667" max="6667" width="10.7109375" bestFit="1" customWidth="1"/>
    <col min="6914" max="6914" width="2.28515625" customWidth="1"/>
    <col min="6915" max="6915" width="16.5703125" customWidth="1"/>
    <col min="6916" max="6916" width="16" customWidth="1"/>
    <col min="6917" max="6917" width="14" customWidth="1"/>
    <col min="6918" max="6918" width="16" customWidth="1"/>
    <col min="6919" max="6919" width="15.85546875" customWidth="1"/>
    <col min="6920" max="6920" width="19" customWidth="1"/>
    <col min="6923" max="6923" width="10.7109375" bestFit="1" customWidth="1"/>
    <col min="7170" max="7170" width="2.28515625" customWidth="1"/>
    <col min="7171" max="7171" width="16.5703125" customWidth="1"/>
    <col min="7172" max="7172" width="16" customWidth="1"/>
    <col min="7173" max="7173" width="14" customWidth="1"/>
    <col min="7174" max="7174" width="16" customWidth="1"/>
    <col min="7175" max="7175" width="15.85546875" customWidth="1"/>
    <col min="7176" max="7176" width="19" customWidth="1"/>
    <col min="7179" max="7179" width="10.7109375" bestFit="1" customWidth="1"/>
    <col min="7426" max="7426" width="2.28515625" customWidth="1"/>
    <col min="7427" max="7427" width="16.5703125" customWidth="1"/>
    <col min="7428" max="7428" width="16" customWidth="1"/>
    <col min="7429" max="7429" width="14" customWidth="1"/>
    <col min="7430" max="7430" width="16" customWidth="1"/>
    <col min="7431" max="7431" width="15.85546875" customWidth="1"/>
    <col min="7432" max="7432" width="19" customWidth="1"/>
    <col min="7435" max="7435" width="10.7109375" bestFit="1" customWidth="1"/>
    <col min="7682" max="7682" width="2.28515625" customWidth="1"/>
    <col min="7683" max="7683" width="16.5703125" customWidth="1"/>
    <col min="7684" max="7684" width="16" customWidth="1"/>
    <col min="7685" max="7685" width="14" customWidth="1"/>
    <col min="7686" max="7686" width="16" customWidth="1"/>
    <col min="7687" max="7687" width="15.85546875" customWidth="1"/>
    <col min="7688" max="7688" width="19" customWidth="1"/>
    <col min="7691" max="7691" width="10.7109375" bestFit="1" customWidth="1"/>
    <col min="7938" max="7938" width="2.28515625" customWidth="1"/>
    <col min="7939" max="7939" width="16.5703125" customWidth="1"/>
    <col min="7940" max="7940" width="16" customWidth="1"/>
    <col min="7941" max="7941" width="14" customWidth="1"/>
    <col min="7942" max="7942" width="16" customWidth="1"/>
    <col min="7943" max="7943" width="15.85546875" customWidth="1"/>
    <col min="7944" max="7944" width="19" customWidth="1"/>
    <col min="7947" max="7947" width="10.7109375" bestFit="1" customWidth="1"/>
    <col min="8194" max="8194" width="2.28515625" customWidth="1"/>
    <col min="8195" max="8195" width="16.5703125" customWidth="1"/>
    <col min="8196" max="8196" width="16" customWidth="1"/>
    <col min="8197" max="8197" width="14" customWidth="1"/>
    <col min="8198" max="8198" width="16" customWidth="1"/>
    <col min="8199" max="8199" width="15.85546875" customWidth="1"/>
    <col min="8200" max="8200" width="19" customWidth="1"/>
    <col min="8203" max="8203" width="10.7109375" bestFit="1" customWidth="1"/>
    <col min="8450" max="8450" width="2.28515625" customWidth="1"/>
    <col min="8451" max="8451" width="16.5703125" customWidth="1"/>
    <col min="8452" max="8452" width="16" customWidth="1"/>
    <col min="8453" max="8453" width="14" customWidth="1"/>
    <col min="8454" max="8454" width="16" customWidth="1"/>
    <col min="8455" max="8455" width="15.85546875" customWidth="1"/>
    <col min="8456" max="8456" width="19" customWidth="1"/>
    <col min="8459" max="8459" width="10.7109375" bestFit="1" customWidth="1"/>
    <col min="8706" max="8706" width="2.28515625" customWidth="1"/>
    <col min="8707" max="8707" width="16.5703125" customWidth="1"/>
    <col min="8708" max="8708" width="16" customWidth="1"/>
    <col min="8709" max="8709" width="14" customWidth="1"/>
    <col min="8710" max="8710" width="16" customWidth="1"/>
    <col min="8711" max="8711" width="15.85546875" customWidth="1"/>
    <col min="8712" max="8712" width="19" customWidth="1"/>
    <col min="8715" max="8715" width="10.7109375" bestFit="1" customWidth="1"/>
    <col min="8962" max="8962" width="2.28515625" customWidth="1"/>
    <col min="8963" max="8963" width="16.5703125" customWidth="1"/>
    <col min="8964" max="8964" width="16" customWidth="1"/>
    <col min="8965" max="8965" width="14" customWidth="1"/>
    <col min="8966" max="8966" width="16" customWidth="1"/>
    <col min="8967" max="8967" width="15.85546875" customWidth="1"/>
    <col min="8968" max="8968" width="19" customWidth="1"/>
    <col min="8971" max="8971" width="10.7109375" bestFit="1" customWidth="1"/>
    <col min="9218" max="9218" width="2.28515625" customWidth="1"/>
    <col min="9219" max="9219" width="16.5703125" customWidth="1"/>
    <col min="9220" max="9220" width="16" customWidth="1"/>
    <col min="9221" max="9221" width="14" customWidth="1"/>
    <col min="9222" max="9222" width="16" customWidth="1"/>
    <col min="9223" max="9223" width="15.85546875" customWidth="1"/>
    <col min="9224" max="9224" width="19" customWidth="1"/>
    <col min="9227" max="9227" width="10.7109375" bestFit="1" customWidth="1"/>
    <col min="9474" max="9474" width="2.28515625" customWidth="1"/>
    <col min="9475" max="9475" width="16.5703125" customWidth="1"/>
    <col min="9476" max="9476" width="16" customWidth="1"/>
    <col min="9477" max="9477" width="14" customWidth="1"/>
    <col min="9478" max="9478" width="16" customWidth="1"/>
    <col min="9479" max="9479" width="15.85546875" customWidth="1"/>
    <col min="9480" max="9480" width="19" customWidth="1"/>
    <col min="9483" max="9483" width="10.7109375" bestFit="1" customWidth="1"/>
    <col min="9730" max="9730" width="2.28515625" customWidth="1"/>
    <col min="9731" max="9731" width="16.5703125" customWidth="1"/>
    <col min="9732" max="9732" width="16" customWidth="1"/>
    <col min="9733" max="9733" width="14" customWidth="1"/>
    <col min="9734" max="9734" width="16" customWidth="1"/>
    <col min="9735" max="9735" width="15.85546875" customWidth="1"/>
    <col min="9736" max="9736" width="19" customWidth="1"/>
    <col min="9739" max="9739" width="10.7109375" bestFit="1" customWidth="1"/>
    <col min="9986" max="9986" width="2.28515625" customWidth="1"/>
    <col min="9987" max="9987" width="16.5703125" customWidth="1"/>
    <col min="9988" max="9988" width="16" customWidth="1"/>
    <col min="9989" max="9989" width="14" customWidth="1"/>
    <col min="9990" max="9990" width="16" customWidth="1"/>
    <col min="9991" max="9991" width="15.85546875" customWidth="1"/>
    <col min="9992" max="9992" width="19" customWidth="1"/>
    <col min="9995" max="9995" width="10.7109375" bestFit="1" customWidth="1"/>
    <col min="10242" max="10242" width="2.28515625" customWidth="1"/>
    <col min="10243" max="10243" width="16.5703125" customWidth="1"/>
    <col min="10244" max="10244" width="16" customWidth="1"/>
    <col min="10245" max="10245" width="14" customWidth="1"/>
    <col min="10246" max="10246" width="16" customWidth="1"/>
    <col min="10247" max="10247" width="15.85546875" customWidth="1"/>
    <col min="10248" max="10248" width="19" customWidth="1"/>
    <col min="10251" max="10251" width="10.7109375" bestFit="1" customWidth="1"/>
    <col min="10498" max="10498" width="2.28515625" customWidth="1"/>
    <col min="10499" max="10499" width="16.5703125" customWidth="1"/>
    <col min="10500" max="10500" width="16" customWidth="1"/>
    <col min="10501" max="10501" width="14" customWidth="1"/>
    <col min="10502" max="10502" width="16" customWidth="1"/>
    <col min="10503" max="10503" width="15.85546875" customWidth="1"/>
    <col min="10504" max="10504" width="19" customWidth="1"/>
    <col min="10507" max="10507" width="10.7109375" bestFit="1" customWidth="1"/>
    <col min="10754" max="10754" width="2.28515625" customWidth="1"/>
    <col min="10755" max="10755" width="16.5703125" customWidth="1"/>
    <col min="10756" max="10756" width="16" customWidth="1"/>
    <col min="10757" max="10757" width="14" customWidth="1"/>
    <col min="10758" max="10758" width="16" customWidth="1"/>
    <col min="10759" max="10759" width="15.85546875" customWidth="1"/>
    <col min="10760" max="10760" width="19" customWidth="1"/>
    <col min="10763" max="10763" width="10.7109375" bestFit="1" customWidth="1"/>
    <col min="11010" max="11010" width="2.28515625" customWidth="1"/>
    <col min="11011" max="11011" width="16.5703125" customWidth="1"/>
    <col min="11012" max="11012" width="16" customWidth="1"/>
    <col min="11013" max="11013" width="14" customWidth="1"/>
    <col min="11014" max="11014" width="16" customWidth="1"/>
    <col min="11015" max="11015" width="15.85546875" customWidth="1"/>
    <col min="11016" max="11016" width="19" customWidth="1"/>
    <col min="11019" max="11019" width="10.7109375" bestFit="1" customWidth="1"/>
    <col min="11266" max="11266" width="2.28515625" customWidth="1"/>
    <col min="11267" max="11267" width="16.5703125" customWidth="1"/>
    <col min="11268" max="11268" width="16" customWidth="1"/>
    <col min="11269" max="11269" width="14" customWidth="1"/>
    <col min="11270" max="11270" width="16" customWidth="1"/>
    <col min="11271" max="11271" width="15.85546875" customWidth="1"/>
    <col min="11272" max="11272" width="19" customWidth="1"/>
    <col min="11275" max="11275" width="10.7109375" bestFit="1" customWidth="1"/>
    <col min="11522" max="11522" width="2.28515625" customWidth="1"/>
    <col min="11523" max="11523" width="16.5703125" customWidth="1"/>
    <col min="11524" max="11524" width="16" customWidth="1"/>
    <col min="11525" max="11525" width="14" customWidth="1"/>
    <col min="11526" max="11526" width="16" customWidth="1"/>
    <col min="11527" max="11527" width="15.85546875" customWidth="1"/>
    <col min="11528" max="11528" width="19" customWidth="1"/>
    <col min="11531" max="11531" width="10.7109375" bestFit="1" customWidth="1"/>
    <col min="11778" max="11778" width="2.28515625" customWidth="1"/>
    <col min="11779" max="11779" width="16.5703125" customWidth="1"/>
    <col min="11780" max="11780" width="16" customWidth="1"/>
    <col min="11781" max="11781" width="14" customWidth="1"/>
    <col min="11782" max="11782" width="16" customWidth="1"/>
    <col min="11783" max="11783" width="15.85546875" customWidth="1"/>
    <col min="11784" max="11784" width="19" customWidth="1"/>
    <col min="11787" max="11787" width="10.7109375" bestFit="1" customWidth="1"/>
    <col min="12034" max="12034" width="2.28515625" customWidth="1"/>
    <col min="12035" max="12035" width="16.5703125" customWidth="1"/>
    <col min="12036" max="12036" width="16" customWidth="1"/>
    <col min="12037" max="12037" width="14" customWidth="1"/>
    <col min="12038" max="12038" width="16" customWidth="1"/>
    <col min="12039" max="12039" width="15.85546875" customWidth="1"/>
    <col min="12040" max="12040" width="19" customWidth="1"/>
    <col min="12043" max="12043" width="10.7109375" bestFit="1" customWidth="1"/>
    <col min="12290" max="12290" width="2.28515625" customWidth="1"/>
    <col min="12291" max="12291" width="16.5703125" customWidth="1"/>
    <col min="12292" max="12292" width="16" customWidth="1"/>
    <col min="12293" max="12293" width="14" customWidth="1"/>
    <col min="12294" max="12294" width="16" customWidth="1"/>
    <col min="12295" max="12295" width="15.85546875" customWidth="1"/>
    <col min="12296" max="12296" width="19" customWidth="1"/>
    <col min="12299" max="12299" width="10.7109375" bestFit="1" customWidth="1"/>
    <col min="12546" max="12546" width="2.28515625" customWidth="1"/>
    <col min="12547" max="12547" width="16.5703125" customWidth="1"/>
    <col min="12548" max="12548" width="16" customWidth="1"/>
    <col min="12549" max="12549" width="14" customWidth="1"/>
    <col min="12550" max="12550" width="16" customWidth="1"/>
    <col min="12551" max="12551" width="15.85546875" customWidth="1"/>
    <col min="12552" max="12552" width="19" customWidth="1"/>
    <col min="12555" max="12555" width="10.7109375" bestFit="1" customWidth="1"/>
    <col min="12802" max="12802" width="2.28515625" customWidth="1"/>
    <col min="12803" max="12803" width="16.5703125" customWidth="1"/>
    <col min="12804" max="12804" width="16" customWidth="1"/>
    <col min="12805" max="12805" width="14" customWidth="1"/>
    <col min="12806" max="12806" width="16" customWidth="1"/>
    <col min="12807" max="12807" width="15.85546875" customWidth="1"/>
    <col min="12808" max="12808" width="19" customWidth="1"/>
    <col min="12811" max="12811" width="10.7109375" bestFit="1" customWidth="1"/>
    <col min="13058" max="13058" width="2.28515625" customWidth="1"/>
    <col min="13059" max="13059" width="16.5703125" customWidth="1"/>
    <col min="13060" max="13060" width="16" customWidth="1"/>
    <col min="13061" max="13061" width="14" customWidth="1"/>
    <col min="13062" max="13062" width="16" customWidth="1"/>
    <col min="13063" max="13063" width="15.85546875" customWidth="1"/>
    <col min="13064" max="13064" width="19" customWidth="1"/>
    <col min="13067" max="13067" width="10.7109375" bestFit="1" customWidth="1"/>
    <col min="13314" max="13314" width="2.28515625" customWidth="1"/>
    <col min="13315" max="13315" width="16.5703125" customWidth="1"/>
    <col min="13316" max="13316" width="16" customWidth="1"/>
    <col min="13317" max="13317" width="14" customWidth="1"/>
    <col min="13318" max="13318" width="16" customWidth="1"/>
    <col min="13319" max="13319" width="15.85546875" customWidth="1"/>
    <col min="13320" max="13320" width="19" customWidth="1"/>
    <col min="13323" max="13323" width="10.7109375" bestFit="1" customWidth="1"/>
    <col min="13570" max="13570" width="2.28515625" customWidth="1"/>
    <col min="13571" max="13571" width="16.5703125" customWidth="1"/>
    <col min="13572" max="13572" width="16" customWidth="1"/>
    <col min="13573" max="13573" width="14" customWidth="1"/>
    <col min="13574" max="13574" width="16" customWidth="1"/>
    <col min="13575" max="13575" width="15.85546875" customWidth="1"/>
    <col min="13576" max="13576" width="19" customWidth="1"/>
    <col min="13579" max="13579" width="10.7109375" bestFit="1" customWidth="1"/>
    <col min="13826" max="13826" width="2.28515625" customWidth="1"/>
    <col min="13827" max="13827" width="16.5703125" customWidth="1"/>
    <col min="13828" max="13828" width="16" customWidth="1"/>
    <col min="13829" max="13829" width="14" customWidth="1"/>
    <col min="13830" max="13830" width="16" customWidth="1"/>
    <col min="13831" max="13831" width="15.85546875" customWidth="1"/>
    <col min="13832" max="13832" width="19" customWidth="1"/>
    <col min="13835" max="13835" width="10.7109375" bestFit="1" customWidth="1"/>
    <col min="14082" max="14082" width="2.28515625" customWidth="1"/>
    <col min="14083" max="14083" width="16.5703125" customWidth="1"/>
    <col min="14084" max="14084" width="16" customWidth="1"/>
    <col min="14085" max="14085" width="14" customWidth="1"/>
    <col min="14086" max="14086" width="16" customWidth="1"/>
    <col min="14087" max="14087" width="15.85546875" customWidth="1"/>
    <col min="14088" max="14088" width="19" customWidth="1"/>
    <col min="14091" max="14091" width="10.7109375" bestFit="1" customWidth="1"/>
    <col min="14338" max="14338" width="2.28515625" customWidth="1"/>
    <col min="14339" max="14339" width="16.5703125" customWidth="1"/>
    <col min="14340" max="14340" width="16" customWidth="1"/>
    <col min="14341" max="14341" width="14" customWidth="1"/>
    <col min="14342" max="14342" width="16" customWidth="1"/>
    <col min="14343" max="14343" width="15.85546875" customWidth="1"/>
    <col min="14344" max="14344" width="19" customWidth="1"/>
    <col min="14347" max="14347" width="10.7109375" bestFit="1" customWidth="1"/>
    <col min="14594" max="14594" width="2.28515625" customWidth="1"/>
    <col min="14595" max="14595" width="16.5703125" customWidth="1"/>
    <col min="14596" max="14596" width="16" customWidth="1"/>
    <col min="14597" max="14597" width="14" customWidth="1"/>
    <col min="14598" max="14598" width="16" customWidth="1"/>
    <col min="14599" max="14599" width="15.85546875" customWidth="1"/>
    <col min="14600" max="14600" width="19" customWidth="1"/>
    <col min="14603" max="14603" width="10.7109375" bestFit="1" customWidth="1"/>
    <col min="14850" max="14850" width="2.28515625" customWidth="1"/>
    <col min="14851" max="14851" width="16.5703125" customWidth="1"/>
    <col min="14852" max="14852" width="16" customWidth="1"/>
    <col min="14853" max="14853" width="14" customWidth="1"/>
    <col min="14854" max="14854" width="16" customWidth="1"/>
    <col min="14855" max="14855" width="15.85546875" customWidth="1"/>
    <col min="14856" max="14856" width="19" customWidth="1"/>
    <col min="14859" max="14859" width="10.7109375" bestFit="1" customWidth="1"/>
    <col min="15106" max="15106" width="2.28515625" customWidth="1"/>
    <col min="15107" max="15107" width="16.5703125" customWidth="1"/>
    <col min="15108" max="15108" width="16" customWidth="1"/>
    <col min="15109" max="15109" width="14" customWidth="1"/>
    <col min="15110" max="15110" width="16" customWidth="1"/>
    <col min="15111" max="15111" width="15.85546875" customWidth="1"/>
    <col min="15112" max="15112" width="19" customWidth="1"/>
    <col min="15115" max="15115" width="10.7109375" bestFit="1" customWidth="1"/>
    <col min="15362" max="15362" width="2.28515625" customWidth="1"/>
    <col min="15363" max="15363" width="16.5703125" customWidth="1"/>
    <col min="15364" max="15364" width="16" customWidth="1"/>
    <col min="15365" max="15365" width="14" customWidth="1"/>
    <col min="15366" max="15366" width="16" customWidth="1"/>
    <col min="15367" max="15367" width="15.85546875" customWidth="1"/>
    <col min="15368" max="15368" width="19" customWidth="1"/>
    <col min="15371" max="15371" width="10.7109375" bestFit="1" customWidth="1"/>
    <col min="15618" max="15618" width="2.28515625" customWidth="1"/>
    <col min="15619" max="15619" width="16.5703125" customWidth="1"/>
    <col min="15620" max="15620" width="16" customWidth="1"/>
    <col min="15621" max="15621" width="14" customWidth="1"/>
    <col min="15622" max="15622" width="16" customWidth="1"/>
    <col min="15623" max="15623" width="15.85546875" customWidth="1"/>
    <col min="15624" max="15624" width="19" customWidth="1"/>
    <col min="15627" max="15627" width="10.7109375" bestFit="1" customWidth="1"/>
    <col min="15874" max="15874" width="2.28515625" customWidth="1"/>
    <col min="15875" max="15875" width="16.5703125" customWidth="1"/>
    <col min="15876" max="15876" width="16" customWidth="1"/>
    <col min="15877" max="15877" width="14" customWidth="1"/>
    <col min="15878" max="15878" width="16" customWidth="1"/>
    <col min="15879" max="15879" width="15.85546875" customWidth="1"/>
    <col min="15880" max="15880" width="19" customWidth="1"/>
    <col min="15883" max="15883" width="10.7109375" bestFit="1" customWidth="1"/>
    <col min="16130" max="16130" width="2.28515625" customWidth="1"/>
    <col min="16131" max="16131" width="16.5703125" customWidth="1"/>
    <col min="16132" max="16132" width="16" customWidth="1"/>
    <col min="16133" max="16133" width="14" customWidth="1"/>
    <col min="16134" max="16134" width="16" customWidth="1"/>
    <col min="16135" max="16135" width="15.85546875" customWidth="1"/>
    <col min="16136" max="16136" width="19" customWidth="1"/>
    <col min="16139" max="16139" width="10.7109375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ht="18.75" x14ac:dyDescent="0.3">
      <c r="A2" s="3" t="s">
        <v>0</v>
      </c>
      <c r="B2" s="4"/>
      <c r="C2" s="5"/>
      <c r="D2" s="6" t="s">
        <v>1</v>
      </c>
      <c r="E2" s="7"/>
      <c r="F2" s="7"/>
      <c r="G2" s="8"/>
      <c r="H2" s="9">
        <v>62768</v>
      </c>
      <c r="I2" s="1"/>
      <c r="J2" s="10" t="s">
        <v>2</v>
      </c>
    </row>
    <row r="3" spans="1:10" ht="18.75" x14ac:dyDescent="0.3">
      <c r="A3" s="1"/>
      <c r="B3" s="1"/>
      <c r="C3" s="1"/>
      <c r="D3" s="11" t="s">
        <v>3</v>
      </c>
      <c r="E3" s="12"/>
      <c r="F3" s="13">
        <v>193895</v>
      </c>
      <c r="G3" s="14" t="s">
        <v>4</v>
      </c>
      <c r="H3" s="15">
        <v>3.0890740504715777</v>
      </c>
      <c r="I3" s="1"/>
      <c r="J3" s="16"/>
    </row>
    <row r="4" spans="1:10" ht="18.75" x14ac:dyDescent="0.3">
      <c r="A4" s="1"/>
      <c r="B4" s="1"/>
      <c r="C4" s="1"/>
      <c r="D4" s="11" t="s">
        <v>5</v>
      </c>
      <c r="E4" s="17"/>
      <c r="F4" s="17"/>
      <c r="G4" s="18">
        <v>950</v>
      </c>
      <c r="H4" s="19">
        <v>75</v>
      </c>
      <c r="I4" s="1"/>
      <c r="J4" s="20">
        <f>H4</f>
        <v>75</v>
      </c>
    </row>
    <row r="5" spans="1:10" ht="19.5" thickBot="1" x14ac:dyDescent="0.35">
      <c r="A5" s="1"/>
      <c r="B5" s="1"/>
      <c r="C5" s="1"/>
      <c r="D5" s="21" t="s">
        <v>6</v>
      </c>
      <c r="E5" s="22"/>
      <c r="F5" s="22"/>
      <c r="G5" s="21"/>
      <c r="H5" s="23">
        <v>0</v>
      </c>
      <c r="I5" s="1"/>
      <c r="J5" s="24"/>
    </row>
    <row r="6" spans="1:10" ht="15.75" thickBot="1" x14ac:dyDescent="0.3">
      <c r="A6" s="1"/>
      <c r="B6" s="1"/>
      <c r="C6" s="1"/>
      <c r="D6" s="1"/>
      <c r="E6" s="1"/>
      <c r="F6" s="1"/>
      <c r="G6" s="1"/>
      <c r="H6" s="2"/>
      <c r="I6" s="1"/>
      <c r="J6" s="1"/>
    </row>
    <row r="7" spans="1:10" ht="18.75" x14ac:dyDescent="0.3">
      <c r="A7" s="3" t="s">
        <v>7</v>
      </c>
      <c r="B7" s="4"/>
      <c r="C7" s="5" t="s">
        <v>8</v>
      </c>
      <c r="D7" s="6" t="s">
        <v>9</v>
      </c>
      <c r="E7" s="7"/>
      <c r="F7" s="7"/>
      <c r="G7" s="8" t="s">
        <v>10</v>
      </c>
      <c r="H7" s="25" t="s">
        <v>11</v>
      </c>
      <c r="I7" s="1"/>
      <c r="J7" s="1"/>
    </row>
    <row r="8" spans="1:10" ht="18.75" x14ac:dyDescent="0.3">
      <c r="A8" s="26" t="s">
        <v>12</v>
      </c>
      <c r="B8" s="27"/>
      <c r="C8" s="11"/>
      <c r="D8" s="28" t="s">
        <v>1</v>
      </c>
      <c r="E8" s="12" t="s">
        <v>13</v>
      </c>
      <c r="F8" s="29">
        <v>1</v>
      </c>
      <c r="G8" s="30" t="s">
        <v>14</v>
      </c>
      <c r="H8" s="31">
        <v>157010</v>
      </c>
      <c r="I8" s="1"/>
      <c r="J8" s="1"/>
    </row>
    <row r="9" spans="1:10" ht="18.75" x14ac:dyDescent="0.3">
      <c r="A9" s="26" t="s">
        <v>15</v>
      </c>
      <c r="B9" s="27"/>
      <c r="C9" s="32"/>
      <c r="D9" s="11" t="s">
        <v>16</v>
      </c>
      <c r="E9" s="12"/>
      <c r="F9" s="33"/>
      <c r="G9" s="14" t="s">
        <v>4</v>
      </c>
      <c r="H9" s="15">
        <f>H10/H8</f>
        <v>1.4544296541621553</v>
      </c>
      <c r="I9" s="1"/>
      <c r="J9" s="1"/>
    </row>
    <row r="10" spans="1:10" ht="19.5" thickBot="1" x14ac:dyDescent="0.35">
      <c r="A10" s="34" t="s">
        <v>17</v>
      </c>
      <c r="B10" s="35"/>
      <c r="C10" s="36"/>
      <c r="D10" s="11" t="s">
        <v>18</v>
      </c>
      <c r="E10" s="17"/>
      <c r="F10" s="17"/>
      <c r="G10" s="37" t="s">
        <v>19</v>
      </c>
      <c r="H10" s="31">
        <v>228360</v>
      </c>
      <c r="I10" s="1"/>
      <c r="J10" s="1"/>
    </row>
    <row r="11" spans="1:10" ht="18.75" x14ac:dyDescent="0.3">
      <c r="A11" s="38"/>
      <c r="B11" s="32"/>
      <c r="C11" s="36"/>
      <c r="D11" s="11" t="s">
        <v>5</v>
      </c>
      <c r="E11" s="17"/>
      <c r="F11" s="17"/>
      <c r="G11" s="18">
        <f>G4</f>
        <v>950</v>
      </c>
      <c r="H11" s="39">
        <f>H10/G11</f>
        <v>240.37894736842105</v>
      </c>
      <c r="I11" s="1"/>
      <c r="J11" s="40">
        <f>H11-H15</f>
        <v>209.12968421052631</v>
      </c>
    </row>
    <row r="12" spans="1:10" ht="18.75" x14ac:dyDescent="0.3">
      <c r="A12" s="38"/>
      <c r="B12" s="32"/>
      <c r="C12" s="1"/>
      <c r="D12" s="11" t="s">
        <v>20</v>
      </c>
      <c r="E12" s="17"/>
      <c r="F12" s="17"/>
      <c r="G12" s="41"/>
      <c r="H12" s="42">
        <v>0.75</v>
      </c>
      <c r="I12" s="1"/>
      <c r="J12" s="1"/>
    </row>
    <row r="13" spans="1:10" ht="18.75" x14ac:dyDescent="0.3">
      <c r="A13" s="38"/>
      <c r="B13" s="32"/>
      <c r="C13" s="21" t="s">
        <v>21</v>
      </c>
      <c r="D13" s="21" t="s">
        <v>6</v>
      </c>
      <c r="E13" s="22"/>
      <c r="F13" s="22"/>
      <c r="G13" s="21"/>
      <c r="H13" s="43">
        <f>H11*0.13</f>
        <v>31.249263157894738</v>
      </c>
      <c r="I13" s="44">
        <f>H11*0.13</f>
        <v>31.249263157894738</v>
      </c>
      <c r="J13" s="1"/>
    </row>
    <row r="14" spans="1:10" ht="18.75" x14ac:dyDescent="0.3">
      <c r="A14" s="38"/>
      <c r="B14" s="32"/>
      <c r="C14" s="45"/>
      <c r="D14" s="21" t="s">
        <v>22</v>
      </c>
      <c r="E14" s="22"/>
      <c r="F14" s="22"/>
      <c r="G14" s="21"/>
      <c r="H14" s="23">
        <v>0</v>
      </c>
      <c r="I14" s="1"/>
      <c r="J14" s="1"/>
    </row>
    <row r="15" spans="1:10" ht="18.75" x14ac:dyDescent="0.3">
      <c r="A15" s="38"/>
      <c r="B15" s="32"/>
      <c r="C15" s="45"/>
      <c r="D15" s="21" t="s">
        <v>23</v>
      </c>
      <c r="E15" s="22"/>
      <c r="F15" s="22"/>
      <c r="G15" s="21"/>
      <c r="H15" s="23">
        <f>SUM(H13:H14)</f>
        <v>31.249263157894738</v>
      </c>
      <c r="I15" s="1"/>
      <c r="J15" s="1"/>
    </row>
    <row r="16" spans="1:10" ht="18.75" x14ac:dyDescent="0.3">
      <c r="A16" s="38"/>
      <c r="B16" s="32"/>
      <c r="C16" s="1"/>
      <c r="D16" s="21" t="s">
        <v>24</v>
      </c>
      <c r="E16" s="22"/>
      <c r="F16" s="22"/>
      <c r="G16" s="21"/>
      <c r="H16" s="46">
        <f>(H15+H18)/H11</f>
        <v>0.13</v>
      </c>
      <c r="I16" s="1"/>
      <c r="J16" s="1"/>
    </row>
    <row r="17" spans="1:8" ht="18.75" x14ac:dyDescent="0.3">
      <c r="A17" s="38"/>
      <c r="B17" s="32"/>
      <c r="C17" s="45"/>
      <c r="D17" s="21" t="s">
        <v>17</v>
      </c>
      <c r="E17" s="22"/>
      <c r="F17" s="22"/>
      <c r="G17" s="21"/>
      <c r="H17" s="47">
        <v>1</v>
      </c>
    </row>
    <row r="18" spans="1:8" ht="18.75" x14ac:dyDescent="0.3">
      <c r="A18" s="38"/>
      <c r="B18" s="32"/>
      <c r="C18" s="45"/>
      <c r="D18" s="21" t="s">
        <v>25</v>
      </c>
      <c r="E18" s="22"/>
      <c r="F18" s="22"/>
      <c r="G18" s="21"/>
      <c r="H18" s="23">
        <v>0</v>
      </c>
    </row>
    <row r="19" spans="1:8" ht="18.75" x14ac:dyDescent="0.3">
      <c r="A19" s="38"/>
      <c r="B19" s="32"/>
      <c r="C19" s="36"/>
      <c r="D19" s="21" t="s">
        <v>26</v>
      </c>
      <c r="E19" s="22"/>
      <c r="F19" s="22"/>
      <c r="G19" s="21"/>
      <c r="H19" s="48">
        <v>0</v>
      </c>
    </row>
    <row r="20" spans="1:8" ht="18.75" x14ac:dyDescent="0.3">
      <c r="A20" s="38"/>
      <c r="B20" s="32"/>
      <c r="C20" s="36"/>
      <c r="D20" s="21" t="s">
        <v>27</v>
      </c>
      <c r="E20" s="22"/>
      <c r="F20" s="22"/>
      <c r="G20" s="21"/>
      <c r="H20" s="48">
        <v>0</v>
      </c>
    </row>
    <row r="21" spans="1:8" ht="19.5" thickBot="1" x14ac:dyDescent="0.35">
      <c r="A21" s="38"/>
      <c r="B21" s="32"/>
      <c r="C21" s="49"/>
      <c r="D21" s="45"/>
      <c r="E21" s="45"/>
      <c r="F21" s="49"/>
      <c r="G21" s="45"/>
      <c r="H21" s="50"/>
    </row>
    <row r="22" spans="1:8" ht="19.5" thickBot="1" x14ac:dyDescent="0.35">
      <c r="A22" s="38"/>
      <c r="B22" s="32"/>
      <c r="C22" s="51" t="s">
        <v>28</v>
      </c>
      <c r="D22" s="51" t="s">
        <v>29</v>
      </c>
      <c r="E22" s="52"/>
      <c r="F22" s="53">
        <v>0.06</v>
      </c>
      <c r="G22" s="54" t="s">
        <v>30</v>
      </c>
      <c r="H22" s="55">
        <f>+F73</f>
        <v>6.0858346861289749E-2</v>
      </c>
    </row>
    <row r="23" spans="1:8" ht="18.75" x14ac:dyDescent="0.3">
      <c r="A23" s="38"/>
      <c r="B23" s="32"/>
      <c r="C23" s="36"/>
      <c r="D23" s="51" t="s">
        <v>31</v>
      </c>
      <c r="E23" s="52"/>
      <c r="F23" s="56">
        <v>3.65</v>
      </c>
      <c r="G23" s="51" t="s">
        <v>32</v>
      </c>
      <c r="H23" s="57"/>
    </row>
    <row r="24" spans="1:8" ht="19.5" thickBot="1" x14ac:dyDescent="0.35">
      <c r="A24" s="38"/>
      <c r="B24" s="32"/>
      <c r="C24" s="32"/>
      <c r="D24" s="36"/>
      <c r="E24" s="45"/>
      <c r="F24" s="49"/>
      <c r="G24" s="45"/>
      <c r="H24" s="58"/>
    </row>
    <row r="25" spans="1:8" ht="18.75" x14ac:dyDescent="0.3">
      <c r="A25" s="59" t="s">
        <v>33</v>
      </c>
      <c r="B25" s="60"/>
      <c r="C25" s="60"/>
      <c r="D25" s="60"/>
      <c r="E25" s="60"/>
      <c r="F25" s="60"/>
      <c r="G25" s="60"/>
      <c r="H25" s="61"/>
    </row>
    <row r="26" spans="1:8" ht="30" x14ac:dyDescent="0.25">
      <c r="A26" s="62" t="s">
        <v>34</v>
      </c>
      <c r="B26" s="63"/>
      <c r="C26" s="63"/>
      <c r="D26" s="64" t="s">
        <v>35</v>
      </c>
      <c r="E26" s="64" t="s">
        <v>36</v>
      </c>
      <c r="F26" s="64" t="s">
        <v>37</v>
      </c>
      <c r="G26" s="64" t="s">
        <v>38</v>
      </c>
      <c r="H26" s="65" t="s">
        <v>39</v>
      </c>
    </row>
    <row r="27" spans="1:8" x14ac:dyDescent="0.25">
      <c r="A27" s="38"/>
      <c r="B27" s="49" t="s">
        <v>40</v>
      </c>
      <c r="C27" s="49" t="s">
        <v>41</v>
      </c>
      <c r="D27" s="66">
        <f>ROUND(H11-D28-D29,0)</f>
        <v>209</v>
      </c>
      <c r="E27" s="67">
        <v>810</v>
      </c>
      <c r="F27" s="68">
        <f>+G27*E27</f>
        <v>2956.5</v>
      </c>
      <c r="G27" s="69">
        <f>F23</f>
        <v>3.65</v>
      </c>
      <c r="H27" s="70">
        <f>+D27*F27*12</f>
        <v>7414902</v>
      </c>
    </row>
    <row r="28" spans="1:8" x14ac:dyDescent="0.25">
      <c r="A28" s="38"/>
      <c r="B28" s="71" t="s">
        <v>42</v>
      </c>
      <c r="C28" s="49" t="s">
        <v>43</v>
      </c>
      <c r="D28" s="66">
        <f>H13</f>
        <v>31.249263157894738</v>
      </c>
      <c r="E28" s="67">
        <v>810</v>
      </c>
      <c r="F28" s="68">
        <v>1098.26</v>
      </c>
      <c r="G28" s="72">
        <f>IF(H28=0,0,+H28/(E28*D28)/12)</f>
        <v>1.3558765432098765</v>
      </c>
      <c r="H28" s="70">
        <f>+F28*D28*12</f>
        <v>411837.78906947369</v>
      </c>
    </row>
    <row r="29" spans="1:8" x14ac:dyDescent="0.25">
      <c r="A29" s="38"/>
      <c r="B29" s="71" t="s">
        <v>44</v>
      </c>
      <c r="C29" s="49" t="s">
        <v>45</v>
      </c>
      <c r="D29" s="66"/>
      <c r="E29" s="67">
        <v>810</v>
      </c>
      <c r="F29" s="68">
        <v>784.93925925925919</v>
      </c>
      <c r="G29" s="73">
        <f>IF(H29=0,0,+H29/(E29*D29)/12)</f>
        <v>0</v>
      </c>
      <c r="H29" s="70">
        <f>+F29*D29*12</f>
        <v>0</v>
      </c>
    </row>
    <row r="30" spans="1:8" x14ac:dyDescent="0.25">
      <c r="A30" s="38"/>
      <c r="B30" s="49" t="s">
        <v>46</v>
      </c>
      <c r="C30" s="49" t="s">
        <v>47</v>
      </c>
      <c r="D30" s="67">
        <v>0</v>
      </c>
      <c r="E30" s="67">
        <v>0</v>
      </c>
      <c r="F30" s="73">
        <v>0</v>
      </c>
      <c r="G30" s="73">
        <v>0</v>
      </c>
      <c r="H30" s="70">
        <f>+G30*E30*D30</f>
        <v>0</v>
      </c>
    </row>
    <row r="31" spans="1:8" x14ac:dyDescent="0.25">
      <c r="A31" s="38"/>
      <c r="B31" s="49"/>
      <c r="C31" s="49" t="s">
        <v>48</v>
      </c>
      <c r="D31" s="67">
        <v>0</v>
      </c>
      <c r="E31" s="67">
        <v>5000</v>
      </c>
      <c r="F31" s="73">
        <f>+G31/12</f>
        <v>0</v>
      </c>
      <c r="G31" s="73">
        <v>0</v>
      </c>
      <c r="H31" s="70">
        <f>+G31*E31*D31</f>
        <v>0</v>
      </c>
    </row>
    <row r="32" spans="1:8" x14ac:dyDescent="0.25">
      <c r="A32" s="38"/>
      <c r="B32" s="74" t="s">
        <v>49</v>
      </c>
      <c r="C32" s="74"/>
      <c r="D32" s="75">
        <f>+H11*H12</f>
        <v>180.2842105263158</v>
      </c>
      <c r="E32" s="76"/>
      <c r="F32" s="76"/>
      <c r="G32" s="76">
        <v>250</v>
      </c>
      <c r="H32" s="77">
        <f>+D32*G32*12</f>
        <v>540852.63157894742</v>
      </c>
    </row>
    <row r="33" spans="1:8" x14ac:dyDescent="0.25">
      <c r="A33" s="38"/>
      <c r="B33" s="49" t="s">
        <v>50</v>
      </c>
      <c r="C33" s="49"/>
      <c r="D33" s="66">
        <f>+H11</f>
        <v>240.37894736842105</v>
      </c>
      <c r="E33" s="67">
        <f>(E27*D27)+(E28*D28)</f>
        <v>194601.90315789473</v>
      </c>
      <c r="F33" s="73"/>
      <c r="G33" s="68"/>
      <c r="H33" s="70">
        <f>SUM(H27:H32)</f>
        <v>8367592.4206484212</v>
      </c>
    </row>
    <row r="34" spans="1:8" x14ac:dyDescent="0.25">
      <c r="A34" s="38"/>
      <c r="B34" s="49" t="s">
        <v>51</v>
      </c>
      <c r="C34" s="49"/>
      <c r="D34" s="78">
        <v>0.85</v>
      </c>
      <c r="E34" s="67">
        <f>+H10</f>
        <v>228360</v>
      </c>
      <c r="F34" s="68"/>
      <c r="G34" s="68"/>
      <c r="H34" s="70"/>
    </row>
    <row r="35" spans="1:8" x14ac:dyDescent="0.25">
      <c r="A35" s="38"/>
      <c r="B35" s="49" t="s">
        <v>52</v>
      </c>
      <c r="C35" s="49"/>
      <c r="D35" s="78">
        <v>1</v>
      </c>
      <c r="E35" s="67">
        <f>(E30*D30)+(D31*E31)</f>
        <v>0</v>
      </c>
      <c r="F35" s="68"/>
      <c r="G35" s="68"/>
      <c r="H35" s="70"/>
    </row>
    <row r="36" spans="1:8" x14ac:dyDescent="0.25">
      <c r="A36" s="38"/>
      <c r="B36" s="49"/>
      <c r="C36" s="49"/>
      <c r="D36" s="67"/>
      <c r="E36" s="68"/>
      <c r="F36" s="68"/>
      <c r="G36" s="68"/>
      <c r="H36" s="70"/>
    </row>
    <row r="37" spans="1:8" ht="18.75" x14ac:dyDescent="0.3">
      <c r="A37" s="79" t="s">
        <v>53</v>
      </c>
      <c r="B37" s="49"/>
      <c r="C37" s="49" t="str">
        <f>+C27</f>
        <v>Market Rate</v>
      </c>
      <c r="D37" s="67"/>
      <c r="E37" s="68"/>
      <c r="F37" s="68"/>
      <c r="G37" s="80">
        <v>0.05</v>
      </c>
      <c r="H37" s="70">
        <f>-G37*H27</f>
        <v>-370745.10000000003</v>
      </c>
    </row>
    <row r="38" spans="1:8" ht="12.75" customHeight="1" x14ac:dyDescent="0.3">
      <c r="A38" s="79"/>
      <c r="B38" s="49"/>
      <c r="C38" s="49" t="str">
        <f>+C28</f>
        <v>Low Income</v>
      </c>
      <c r="D38" s="67"/>
      <c r="E38" s="68"/>
      <c r="F38" s="68"/>
      <c r="G38" s="80">
        <v>0</v>
      </c>
      <c r="H38" s="70">
        <f>-G38*H28</f>
        <v>0</v>
      </c>
    </row>
    <row r="39" spans="1:8" ht="12.75" customHeight="1" x14ac:dyDescent="0.3">
      <c r="A39" s="79"/>
      <c r="B39" s="49"/>
      <c r="C39" s="49" t="str">
        <f>+C30</f>
        <v>Market Rate Retail</v>
      </c>
      <c r="D39" s="67"/>
      <c r="E39" s="68"/>
      <c r="F39" s="68"/>
      <c r="G39" s="80">
        <v>0.1</v>
      </c>
      <c r="H39" s="70">
        <f>-G39*H30</f>
        <v>0</v>
      </c>
    </row>
    <row r="40" spans="1:8" x14ac:dyDescent="0.25">
      <c r="A40" s="38"/>
      <c r="B40" s="74"/>
      <c r="C40" s="74" t="str">
        <f>+C31</f>
        <v>Affordable Innovation</v>
      </c>
      <c r="D40" s="75"/>
      <c r="E40" s="76"/>
      <c r="F40" s="76"/>
      <c r="G40" s="81">
        <v>0.2</v>
      </c>
      <c r="H40" s="77">
        <f>-G40*H31</f>
        <v>0</v>
      </c>
    </row>
    <row r="41" spans="1:8" x14ac:dyDescent="0.25">
      <c r="A41" s="38"/>
      <c r="B41" s="49" t="s">
        <v>54</v>
      </c>
      <c r="C41" s="49"/>
      <c r="D41" s="67"/>
      <c r="E41" s="68"/>
      <c r="F41" s="68"/>
      <c r="G41" s="80"/>
      <c r="H41" s="70">
        <f>SUM(H37:H40)</f>
        <v>-370745.10000000003</v>
      </c>
    </row>
    <row r="42" spans="1:8" s="83" customFormat="1" ht="18.75" x14ac:dyDescent="0.3">
      <c r="A42" s="82"/>
      <c r="C42" s="45"/>
      <c r="D42" s="49"/>
      <c r="E42" s="49"/>
      <c r="F42" s="84"/>
      <c r="G42" s="85"/>
      <c r="H42" s="70"/>
    </row>
    <row r="43" spans="1:8" ht="18.75" x14ac:dyDescent="0.3">
      <c r="A43" s="79" t="s">
        <v>55</v>
      </c>
      <c r="B43" s="49"/>
      <c r="C43" s="49"/>
      <c r="D43" s="67"/>
      <c r="E43" s="68"/>
      <c r="F43" s="68"/>
      <c r="G43" s="68"/>
      <c r="H43" s="70">
        <f>+H33+H41</f>
        <v>7996847.3206484215</v>
      </c>
    </row>
    <row r="44" spans="1:8" x14ac:dyDescent="0.25">
      <c r="A44" s="38"/>
      <c r="B44" s="49"/>
      <c r="C44" s="49"/>
      <c r="D44" s="67"/>
      <c r="E44" s="68"/>
      <c r="F44" s="68"/>
      <c r="G44" s="68"/>
      <c r="H44" s="70"/>
    </row>
    <row r="45" spans="1:8" ht="18.75" x14ac:dyDescent="0.3">
      <c r="A45" s="79" t="s">
        <v>56</v>
      </c>
      <c r="B45" s="49"/>
      <c r="C45" s="49"/>
      <c r="D45" s="49"/>
      <c r="E45" s="49"/>
      <c r="F45" s="49"/>
      <c r="G45" s="49"/>
      <c r="H45" s="70"/>
    </row>
    <row r="46" spans="1:8" x14ac:dyDescent="0.25">
      <c r="A46" s="38"/>
      <c r="B46" s="49" t="s">
        <v>57</v>
      </c>
      <c r="C46" s="49" t="s">
        <v>58</v>
      </c>
      <c r="D46" s="49"/>
      <c r="E46" s="49"/>
      <c r="F46" s="68">
        <v>7500</v>
      </c>
      <c r="G46" s="68" t="s">
        <v>59</v>
      </c>
      <c r="H46" s="70">
        <f>-F46*D33</f>
        <v>-1802842.105263158</v>
      </c>
    </row>
    <row r="47" spans="1:8" x14ac:dyDescent="0.25">
      <c r="A47" s="38"/>
      <c r="B47" s="49"/>
      <c r="C47" s="49" t="s">
        <v>60</v>
      </c>
      <c r="D47" s="78">
        <v>7.0000000000000007E-2</v>
      </c>
      <c r="E47" s="49" t="s">
        <v>61</v>
      </c>
      <c r="F47" s="68">
        <f>ROUND(-H47/D33,-2)</f>
        <v>2400</v>
      </c>
      <c r="G47" s="68" t="s">
        <v>59</v>
      </c>
      <c r="H47" s="70">
        <f>(H27+H28+H32)*-D47</f>
        <v>-585731.46944538958</v>
      </c>
    </row>
    <row r="48" spans="1:8" x14ac:dyDescent="0.25">
      <c r="A48" s="38"/>
      <c r="B48" s="49"/>
      <c r="C48" s="49" t="s">
        <v>62</v>
      </c>
      <c r="D48" s="80">
        <v>2.5000000000000001E-2</v>
      </c>
      <c r="E48" s="49" t="s">
        <v>63</v>
      </c>
      <c r="F48" s="68">
        <f>-H48/D33</f>
        <v>826.73762476300578</v>
      </c>
      <c r="G48" s="68" t="s">
        <v>59</v>
      </c>
      <c r="H48" s="70">
        <f>-D48*((H27+H28+H32)*(1-G37))</f>
        <v>-198730.31999039999</v>
      </c>
    </row>
    <row r="49" spans="1:11" x14ac:dyDescent="0.25">
      <c r="A49" s="38"/>
      <c r="B49" s="49"/>
      <c r="C49" s="49" t="s">
        <v>64</v>
      </c>
      <c r="D49" s="49"/>
      <c r="E49" s="49"/>
      <c r="F49" s="68">
        <v>250</v>
      </c>
      <c r="G49" s="68" t="s">
        <v>59</v>
      </c>
      <c r="H49" s="70">
        <f>-F49*D33</f>
        <v>-60094.73684210526</v>
      </c>
      <c r="I49" s="1"/>
      <c r="J49" s="1"/>
      <c r="K49" s="1"/>
    </row>
    <row r="50" spans="1:11" x14ac:dyDescent="0.25">
      <c r="A50" s="38"/>
      <c r="B50" s="74" t="s">
        <v>46</v>
      </c>
      <c r="C50" s="86" t="s">
        <v>65</v>
      </c>
      <c r="D50" s="74"/>
      <c r="E50" s="74"/>
      <c r="F50" s="87">
        <v>0.02</v>
      </c>
      <c r="G50" s="74" t="s">
        <v>66</v>
      </c>
      <c r="H50" s="77">
        <f>-F50*(H30+H31)</f>
        <v>0</v>
      </c>
      <c r="I50" s="1"/>
      <c r="J50" s="1"/>
      <c r="K50" s="1"/>
    </row>
    <row r="51" spans="1:11" x14ac:dyDescent="0.25">
      <c r="A51" s="38"/>
      <c r="B51" s="49" t="s">
        <v>67</v>
      </c>
      <c r="C51" s="49"/>
      <c r="D51" s="78">
        <f>-H51/H43</f>
        <v>0.33105529284087787</v>
      </c>
      <c r="E51" s="68" t="s">
        <v>68</v>
      </c>
      <c r="F51" s="68">
        <f>-H51/D33</f>
        <v>11013.437992485549</v>
      </c>
      <c r="G51" s="68" t="s">
        <v>59</v>
      </c>
      <c r="H51" s="70">
        <f>SUM(H46:H50)</f>
        <v>-2647398.6315410528</v>
      </c>
      <c r="I51" s="1"/>
      <c r="J51" s="1"/>
      <c r="K51" s="1"/>
    </row>
    <row r="52" spans="1:11" ht="15.75" thickBot="1" x14ac:dyDescent="0.3">
      <c r="A52" s="38"/>
      <c r="B52" s="49"/>
      <c r="C52" s="49"/>
      <c r="D52" s="49"/>
      <c r="E52" s="32"/>
      <c r="F52" s="49"/>
      <c r="G52" s="49"/>
      <c r="H52" s="70"/>
      <c r="I52" s="1"/>
      <c r="J52" s="1"/>
      <c r="K52" s="1"/>
    </row>
    <row r="53" spans="1:11" ht="18.75" x14ac:dyDescent="0.3">
      <c r="A53" s="79" t="s">
        <v>69</v>
      </c>
      <c r="B53" s="49"/>
      <c r="C53" s="49"/>
      <c r="D53" s="78">
        <f>+H53/H43</f>
        <v>0.66894470715912213</v>
      </c>
      <c r="E53" s="68" t="s">
        <v>68</v>
      </c>
      <c r="F53" s="68">
        <f>+H53/D33</f>
        <v>22254.231278034684</v>
      </c>
      <c r="G53" s="68" t="s">
        <v>59</v>
      </c>
      <c r="H53" s="70">
        <f>+H43+H51</f>
        <v>5349448.6891073687</v>
      </c>
      <c r="I53" s="1"/>
      <c r="J53" s="88">
        <f>+H53/1.25</f>
        <v>4279558.951285895</v>
      </c>
      <c r="K53" s="89" t="s">
        <v>70</v>
      </c>
    </row>
    <row r="54" spans="1:11" x14ac:dyDescent="0.25">
      <c r="A54" s="38"/>
      <c r="B54" s="49"/>
      <c r="C54" s="49"/>
      <c r="D54" s="49"/>
      <c r="E54" s="49"/>
      <c r="F54" s="49"/>
      <c r="G54" s="49"/>
      <c r="H54" s="70"/>
      <c r="I54" s="1"/>
      <c r="J54" s="90">
        <f>-J53/(PMT(0.04/12,30*12,1)*12)</f>
        <v>74700143.877765596</v>
      </c>
      <c r="K54" s="91" t="s">
        <v>71</v>
      </c>
    </row>
    <row r="55" spans="1:11" ht="18.75" x14ac:dyDescent="0.3">
      <c r="A55" s="79" t="s">
        <v>72</v>
      </c>
      <c r="B55" s="49"/>
      <c r="C55" s="49"/>
      <c r="D55" s="49"/>
      <c r="E55" s="49"/>
      <c r="F55" s="49"/>
      <c r="G55" s="49"/>
      <c r="H55" s="70"/>
      <c r="I55" s="1"/>
      <c r="J55" s="92">
        <f>+H69-J54</f>
        <v>13199856.122234404</v>
      </c>
      <c r="K55" s="91" t="s">
        <v>73</v>
      </c>
    </row>
    <row r="56" spans="1:11" x14ac:dyDescent="0.25">
      <c r="A56" s="38"/>
      <c r="B56" s="49" t="s">
        <v>74</v>
      </c>
      <c r="C56" s="49"/>
      <c r="D56" s="49"/>
      <c r="E56" s="93" t="s">
        <v>75</v>
      </c>
      <c r="F56" s="94">
        <v>0.05</v>
      </c>
      <c r="G56" s="49" t="s">
        <v>76</v>
      </c>
      <c r="H56" s="70">
        <f>+H53/F56</f>
        <v>106988973.78214736</v>
      </c>
      <c r="I56" s="1"/>
      <c r="J56" s="92">
        <f>+H53-J53</f>
        <v>1069889.7378214737</v>
      </c>
      <c r="K56" s="91" t="s">
        <v>77</v>
      </c>
    </row>
    <row r="57" spans="1:11" ht="15.75" thickBot="1" x14ac:dyDescent="0.3">
      <c r="A57" s="38"/>
      <c r="B57" s="49"/>
      <c r="C57" s="49"/>
      <c r="D57" s="49"/>
      <c r="E57" s="49"/>
      <c r="F57" s="49"/>
      <c r="G57" s="93" t="s">
        <v>78</v>
      </c>
      <c r="H57" s="70">
        <f>ROUND(H56,-5)</f>
        <v>107000000</v>
      </c>
      <c r="I57" s="1"/>
      <c r="J57" s="95">
        <f>+J56/J55</f>
        <v>8.1053136330729053E-2</v>
      </c>
      <c r="K57" s="96" t="s">
        <v>79</v>
      </c>
    </row>
    <row r="58" spans="1:11" x14ac:dyDescent="0.25">
      <c r="A58" s="38"/>
      <c r="B58" s="49"/>
      <c r="C58" s="49"/>
      <c r="D58" s="49"/>
      <c r="E58" s="49"/>
      <c r="F58" s="49"/>
      <c r="G58" s="93" t="s">
        <v>80</v>
      </c>
      <c r="H58" s="70">
        <f>+H57/E34</f>
        <v>468.55841653529512</v>
      </c>
      <c r="I58" s="1"/>
      <c r="J58" s="1"/>
      <c r="K58" s="1"/>
    </row>
    <row r="59" spans="1:11" x14ac:dyDescent="0.25">
      <c r="A59" s="38"/>
      <c r="B59" s="49"/>
      <c r="C59" s="49"/>
      <c r="D59" s="49"/>
      <c r="E59" s="49"/>
      <c r="F59" s="49"/>
      <c r="G59" s="93" t="s">
        <v>59</v>
      </c>
      <c r="H59" s="70">
        <f>+H57/D33</f>
        <v>445130.49570853042</v>
      </c>
      <c r="I59" s="1"/>
      <c r="J59" s="1">
        <v>646091.59779614327</v>
      </c>
      <c r="K59" s="2">
        <f>+J59-H59</f>
        <v>200961.10208761285</v>
      </c>
    </row>
    <row r="60" spans="1:11" x14ac:dyDescent="0.25">
      <c r="A60" s="97"/>
      <c r="B60" s="74"/>
      <c r="C60" s="74"/>
      <c r="D60" s="74"/>
      <c r="E60" s="74"/>
      <c r="F60" s="74"/>
      <c r="G60" s="98"/>
      <c r="H60" s="77"/>
      <c r="I60" s="1"/>
      <c r="J60" s="1"/>
      <c r="K60" s="1"/>
    </row>
    <row r="61" spans="1:11" x14ac:dyDescent="0.25">
      <c r="A61" s="38"/>
      <c r="B61" s="49"/>
      <c r="C61" s="49"/>
      <c r="D61" s="49"/>
      <c r="E61" s="49"/>
      <c r="F61" s="94"/>
      <c r="G61" s="49"/>
      <c r="H61" s="70"/>
      <c r="I61" s="1"/>
      <c r="J61" s="1"/>
      <c r="K61" s="1"/>
    </row>
    <row r="62" spans="1:11" ht="19.5" thickBot="1" x14ac:dyDescent="0.35">
      <c r="A62" s="79" t="s">
        <v>81</v>
      </c>
      <c r="B62" s="49"/>
      <c r="C62" s="49"/>
      <c r="D62" s="49"/>
      <c r="E62" s="49"/>
      <c r="F62" s="49"/>
      <c r="G62" s="49"/>
      <c r="H62" s="70"/>
      <c r="I62" s="1"/>
      <c r="J62" s="1"/>
      <c r="K62" s="1"/>
    </row>
    <row r="63" spans="1:11" ht="19.5" thickBot="1" x14ac:dyDescent="0.35">
      <c r="A63" s="79"/>
      <c r="B63" s="49" t="s">
        <v>82</v>
      </c>
      <c r="C63" s="49"/>
      <c r="D63" s="68">
        <f>+H63/D33</f>
        <v>45722.390085829393</v>
      </c>
      <c r="E63" s="49" t="s">
        <v>59</v>
      </c>
      <c r="F63" s="73">
        <v>70</v>
      </c>
      <c r="G63" s="49" t="s">
        <v>83</v>
      </c>
      <c r="H63" s="99">
        <f>F63*H8</f>
        <v>10990700</v>
      </c>
      <c r="I63" s="1"/>
      <c r="J63" s="1"/>
      <c r="K63" s="1"/>
    </row>
    <row r="64" spans="1:11" ht="12.75" customHeight="1" x14ac:dyDescent="0.3">
      <c r="A64" s="79"/>
      <c r="B64" s="49" t="s">
        <v>84</v>
      </c>
      <c r="C64" s="49"/>
      <c r="D64" s="68">
        <v>300000</v>
      </c>
      <c r="E64" s="49" t="s">
        <v>59</v>
      </c>
      <c r="F64" s="67">
        <f>H18</f>
        <v>0</v>
      </c>
      <c r="G64" s="49" t="s">
        <v>35</v>
      </c>
      <c r="H64" s="70">
        <f>+F64*D64</f>
        <v>0</v>
      </c>
      <c r="I64" s="1"/>
      <c r="J64" s="1"/>
      <c r="K64" s="1"/>
    </row>
    <row r="65" spans="1:10" x14ac:dyDescent="0.25">
      <c r="A65" s="38"/>
      <c r="B65" s="49" t="s">
        <v>57</v>
      </c>
      <c r="C65" s="49"/>
      <c r="D65" s="49"/>
      <c r="E65" s="49"/>
      <c r="F65" s="73">
        <f>280*0.92</f>
        <v>257.60000000000002</v>
      </c>
      <c r="G65" s="49" t="s">
        <v>85</v>
      </c>
      <c r="H65" s="70">
        <f>+F65*E34</f>
        <v>58825536.000000007</v>
      </c>
      <c r="I65" s="1"/>
      <c r="J65" s="1"/>
    </row>
    <row r="66" spans="1:10" x14ac:dyDescent="0.25">
      <c r="A66" s="38"/>
      <c r="B66" s="49" t="s">
        <v>46</v>
      </c>
      <c r="C66" s="49"/>
      <c r="D66" s="49"/>
      <c r="E66" s="49"/>
      <c r="F66" s="73">
        <v>280</v>
      </c>
      <c r="G66" s="49" t="s">
        <v>85</v>
      </c>
      <c r="H66" s="70">
        <f>F66*(E35)</f>
        <v>0</v>
      </c>
      <c r="I66" s="1"/>
      <c r="J66" s="1"/>
    </row>
    <row r="67" spans="1:10" x14ac:dyDescent="0.25">
      <c r="A67" s="38"/>
      <c r="B67" s="49" t="s">
        <v>86</v>
      </c>
      <c r="C67" s="49" t="s">
        <v>87</v>
      </c>
      <c r="D67" s="67">
        <f>+D32</f>
        <v>180.2842105263158</v>
      </c>
      <c r="E67" s="32" t="s">
        <v>88</v>
      </c>
      <c r="F67" s="68">
        <v>35000</v>
      </c>
      <c r="G67" s="49" t="s">
        <v>89</v>
      </c>
      <c r="H67" s="70">
        <f>+F67*D32</f>
        <v>6309947.3684210535</v>
      </c>
      <c r="I67" s="1"/>
      <c r="J67" s="1"/>
    </row>
    <row r="68" spans="1:10" x14ac:dyDescent="0.25">
      <c r="A68" s="38"/>
      <c r="B68" s="74" t="s">
        <v>90</v>
      </c>
      <c r="C68" s="74"/>
      <c r="D68" s="74"/>
      <c r="E68" s="74"/>
      <c r="F68" s="87">
        <v>0.2</v>
      </c>
      <c r="G68" s="74" t="s">
        <v>91</v>
      </c>
      <c r="H68" s="77">
        <f>ROUND((H65+H66)*F68,-5)</f>
        <v>11800000</v>
      </c>
      <c r="I68" s="1"/>
      <c r="J68" s="1"/>
    </row>
    <row r="69" spans="1:10" x14ac:dyDescent="0.25">
      <c r="A69" s="38"/>
      <c r="B69" s="49"/>
      <c r="C69" s="49"/>
      <c r="D69" s="49"/>
      <c r="E69" s="49"/>
      <c r="F69" s="49"/>
      <c r="G69" s="93" t="s">
        <v>78</v>
      </c>
      <c r="H69" s="70">
        <f>ROUND(SUM(H63:H68),-5)</f>
        <v>87900000</v>
      </c>
      <c r="I69" s="1"/>
      <c r="J69" s="1"/>
    </row>
    <row r="70" spans="1:10" x14ac:dyDescent="0.25">
      <c r="A70" s="38"/>
      <c r="B70" s="49"/>
      <c r="C70" s="49"/>
      <c r="D70" s="49"/>
      <c r="E70" s="49"/>
      <c r="F70" s="49"/>
      <c r="G70" s="93" t="s">
        <v>80</v>
      </c>
      <c r="H70" s="70">
        <f>+H69/(E34+E35)</f>
        <v>384.91854965843407</v>
      </c>
      <c r="I70" s="1"/>
      <c r="J70" s="1"/>
    </row>
    <row r="71" spans="1:10" x14ac:dyDescent="0.25">
      <c r="A71" s="38"/>
      <c r="B71" s="49"/>
      <c r="C71" s="49"/>
      <c r="D71" s="49"/>
      <c r="E71" s="49"/>
      <c r="F71" s="49"/>
      <c r="G71" s="93" t="s">
        <v>59</v>
      </c>
      <c r="H71" s="70">
        <f>+H69/H11</f>
        <v>365672.62217551237</v>
      </c>
      <c r="I71" s="1"/>
      <c r="J71" s="1">
        <v>486340.6795224977</v>
      </c>
    </row>
    <row r="72" spans="1:10" x14ac:dyDescent="0.25">
      <c r="A72" s="38"/>
      <c r="B72" s="49"/>
      <c r="C72" s="49"/>
      <c r="D72" s="49"/>
      <c r="E72" s="49"/>
      <c r="F72" s="49"/>
      <c r="G72" s="49"/>
      <c r="H72" s="70"/>
      <c r="I72" s="1"/>
      <c r="J72" s="1"/>
    </row>
    <row r="73" spans="1:10" ht="18.75" x14ac:dyDescent="0.3">
      <c r="A73" s="100" t="s">
        <v>92</v>
      </c>
      <c r="B73" s="49"/>
      <c r="C73" s="49"/>
      <c r="D73" s="49"/>
      <c r="E73" s="93" t="s">
        <v>93</v>
      </c>
      <c r="F73" s="80">
        <f>+H53/H69</f>
        <v>6.0858346861289749E-2</v>
      </c>
      <c r="G73" s="93" t="s">
        <v>94</v>
      </c>
      <c r="H73" s="70">
        <f>+H57-H69</f>
        <v>19100000</v>
      </c>
      <c r="I73" s="1"/>
      <c r="J73" s="1"/>
    </row>
    <row r="74" spans="1:10" ht="15.75" thickBot="1" x14ac:dyDescent="0.3">
      <c r="A74" s="101"/>
      <c r="B74" s="102"/>
      <c r="C74" s="102"/>
      <c r="D74" s="103"/>
      <c r="E74" s="103"/>
      <c r="F74" s="103"/>
      <c r="G74" s="102"/>
      <c r="H74" s="104"/>
      <c r="I74" s="1"/>
      <c r="J74" s="1"/>
    </row>
    <row r="75" spans="1:10" x14ac:dyDescent="0.25">
      <c r="A75" s="38"/>
      <c r="B75" s="32"/>
      <c r="C75" s="32"/>
      <c r="D75" s="32"/>
      <c r="E75" s="32"/>
      <c r="F75" s="32"/>
      <c r="G75" s="32"/>
      <c r="H75" s="32"/>
      <c r="I75" s="1"/>
      <c r="J75" s="1"/>
    </row>
    <row r="77" spans="1:10" ht="15.75" thickBo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</row>
    <row r="78" spans="1:10" ht="18.75" x14ac:dyDescent="0.3">
      <c r="A78" s="3" t="s">
        <v>7</v>
      </c>
      <c r="B78" s="4"/>
      <c r="C78" s="5" t="s">
        <v>8</v>
      </c>
      <c r="D78" s="6" t="s">
        <v>9</v>
      </c>
      <c r="E78" s="7"/>
      <c r="F78" s="7"/>
      <c r="G78" s="8" t="s">
        <v>10</v>
      </c>
      <c r="H78" s="25" t="s">
        <v>11</v>
      </c>
      <c r="I78" s="1"/>
      <c r="J78" s="1"/>
    </row>
    <row r="79" spans="1:10" ht="18.75" x14ac:dyDescent="0.3">
      <c r="A79" s="26" t="s">
        <v>95</v>
      </c>
      <c r="B79" s="27"/>
      <c r="C79" s="11"/>
      <c r="D79" s="28" t="s">
        <v>1</v>
      </c>
      <c r="E79" s="12" t="s">
        <v>13</v>
      </c>
      <c r="F79" s="29"/>
      <c r="G79" s="30" t="s">
        <v>14</v>
      </c>
      <c r="H79" s="31">
        <v>93255</v>
      </c>
      <c r="I79" s="1"/>
      <c r="J79" s="1"/>
    </row>
    <row r="80" spans="1:10" ht="19.5" thickBot="1" x14ac:dyDescent="0.35">
      <c r="A80" s="26"/>
      <c r="B80" s="27"/>
      <c r="C80" s="32"/>
      <c r="D80" s="11" t="s">
        <v>16</v>
      </c>
      <c r="E80" s="12"/>
      <c r="F80" s="33"/>
      <c r="G80" s="14" t="s">
        <v>4</v>
      </c>
      <c r="H80" s="15">
        <f>H81/H79</f>
        <v>1.9423623398209211</v>
      </c>
      <c r="I80" s="1"/>
      <c r="J80" s="1"/>
    </row>
    <row r="81" spans="1:10" ht="19.5" thickBot="1" x14ac:dyDescent="0.35">
      <c r="A81" s="34" t="s">
        <v>17</v>
      </c>
      <c r="B81" s="35"/>
      <c r="C81" s="36"/>
      <c r="D81" s="11" t="s">
        <v>18</v>
      </c>
      <c r="E81" s="17"/>
      <c r="F81" s="17"/>
      <c r="G81" s="37" t="s">
        <v>19</v>
      </c>
      <c r="H81" s="31">
        <v>181135</v>
      </c>
      <c r="I81" s="1"/>
      <c r="J81" s="105" t="s">
        <v>96</v>
      </c>
    </row>
    <row r="82" spans="1:10" ht="18.75" x14ac:dyDescent="0.3">
      <c r="A82" s="38"/>
      <c r="B82" s="32"/>
      <c r="C82" s="36"/>
      <c r="D82" s="11" t="s">
        <v>5</v>
      </c>
      <c r="E82" s="17"/>
      <c r="F82" s="17"/>
      <c r="G82" s="18">
        <f>G11</f>
        <v>950</v>
      </c>
      <c r="H82" s="39">
        <f>H81/G82</f>
        <v>190.66842105263157</v>
      </c>
      <c r="I82" s="1"/>
      <c r="J82" s="106">
        <f>H11+H82</f>
        <v>431.04736842105262</v>
      </c>
    </row>
    <row r="83" spans="1:10" ht="18.75" x14ac:dyDescent="0.3">
      <c r="A83" s="38"/>
      <c r="B83" s="32"/>
      <c r="C83" s="1"/>
      <c r="D83" s="11" t="s">
        <v>20</v>
      </c>
      <c r="E83" s="17"/>
      <c r="F83" s="17"/>
      <c r="G83" s="41"/>
      <c r="H83" s="42">
        <v>0.75</v>
      </c>
      <c r="I83" s="1"/>
      <c r="J83" s="107"/>
    </row>
    <row r="84" spans="1:10" ht="18.75" x14ac:dyDescent="0.3">
      <c r="A84" s="38"/>
      <c r="B84" s="32"/>
      <c r="C84" s="21" t="s">
        <v>21</v>
      </c>
      <c r="D84" s="21" t="s">
        <v>6</v>
      </c>
      <c r="E84" s="22"/>
      <c r="F84" s="22"/>
      <c r="G84" s="21"/>
      <c r="H84" s="23">
        <v>25</v>
      </c>
      <c r="I84" s="44">
        <f>H82*0.13</f>
        <v>24.786894736842104</v>
      </c>
      <c r="J84" s="108">
        <f>H13+H84</f>
        <v>56.249263157894738</v>
      </c>
    </row>
    <row r="85" spans="1:10" ht="18.75" x14ac:dyDescent="0.3">
      <c r="A85" s="38"/>
      <c r="B85" s="32"/>
      <c r="C85" s="45"/>
      <c r="D85" s="21" t="s">
        <v>97</v>
      </c>
      <c r="E85" s="22"/>
      <c r="F85" s="22"/>
      <c r="G85" s="21"/>
      <c r="H85" s="23">
        <v>0</v>
      </c>
      <c r="I85" s="1"/>
      <c r="J85" s="108"/>
    </row>
    <row r="86" spans="1:10" ht="18.75" x14ac:dyDescent="0.3">
      <c r="A86" s="38"/>
      <c r="B86" s="32"/>
      <c r="C86" s="45"/>
      <c r="D86" s="21" t="s">
        <v>23</v>
      </c>
      <c r="E86" s="22"/>
      <c r="F86" s="22"/>
      <c r="G86" s="21"/>
      <c r="H86" s="23">
        <f>SUM(H84:H85)</f>
        <v>25</v>
      </c>
      <c r="I86" s="1"/>
      <c r="J86" s="108">
        <f>H15+H86</f>
        <v>56.249263157894738</v>
      </c>
    </row>
    <row r="87" spans="1:10" ht="19.5" thickBot="1" x14ac:dyDescent="0.35">
      <c r="A87" s="38"/>
      <c r="B87" s="32"/>
      <c r="C87" s="1"/>
      <c r="D87" s="21" t="s">
        <v>24</v>
      </c>
      <c r="E87" s="22"/>
      <c r="F87" s="22"/>
      <c r="G87" s="21"/>
      <c r="H87" s="46">
        <f>H86/H82</f>
        <v>0.13111767466254451</v>
      </c>
      <c r="I87" s="1"/>
      <c r="J87" s="109">
        <f>J86/J82</f>
        <v>0.1304943894308844</v>
      </c>
    </row>
    <row r="88" spans="1:10" ht="18.75" x14ac:dyDescent="0.3">
      <c r="A88" s="38"/>
      <c r="B88" s="32"/>
      <c r="C88" s="45"/>
      <c r="D88" s="21" t="s">
        <v>17</v>
      </c>
      <c r="E88" s="22"/>
      <c r="F88" s="22"/>
      <c r="G88" s="21"/>
      <c r="H88" s="47">
        <f>H84/H86</f>
        <v>1</v>
      </c>
      <c r="I88" s="1"/>
      <c r="J88" s="1"/>
    </row>
    <row r="89" spans="1:10" ht="18.75" x14ac:dyDescent="0.3">
      <c r="A89" s="38"/>
      <c r="B89" s="32"/>
      <c r="C89" s="36"/>
      <c r="D89" s="21" t="s">
        <v>98</v>
      </c>
      <c r="E89" s="22"/>
      <c r="F89" s="22"/>
      <c r="G89" s="21"/>
      <c r="H89" s="23">
        <v>0</v>
      </c>
      <c r="I89" s="1"/>
      <c r="J89" s="1"/>
    </row>
    <row r="90" spans="1:10" ht="18.75" x14ac:dyDescent="0.3">
      <c r="A90" s="38"/>
      <c r="B90" s="32"/>
      <c r="C90" s="36"/>
      <c r="D90" s="21" t="s">
        <v>27</v>
      </c>
      <c r="E90" s="22"/>
      <c r="F90" s="22"/>
      <c r="G90" s="21"/>
      <c r="H90" s="48">
        <v>300000</v>
      </c>
      <c r="I90" s="1"/>
      <c r="J90" s="1"/>
    </row>
    <row r="91" spans="1:10" ht="19.5" thickBot="1" x14ac:dyDescent="0.35">
      <c r="A91" s="38"/>
      <c r="B91" s="32"/>
      <c r="C91" s="49"/>
      <c r="D91" s="45"/>
      <c r="E91" s="45"/>
      <c r="F91" s="49"/>
      <c r="G91" s="45"/>
      <c r="H91" s="50"/>
      <c r="I91" s="1"/>
      <c r="J91" s="1"/>
    </row>
    <row r="92" spans="1:10" ht="19.5" thickBot="1" x14ac:dyDescent="0.35">
      <c r="A92" s="38"/>
      <c r="B92" s="32"/>
      <c r="C92" s="51" t="s">
        <v>28</v>
      </c>
      <c r="D92" s="51" t="s">
        <v>29</v>
      </c>
      <c r="E92" s="52"/>
      <c r="F92" s="53">
        <v>6.0999999999999999E-2</v>
      </c>
      <c r="G92" s="54" t="s">
        <v>30</v>
      </c>
      <c r="H92" s="55">
        <f>+F143</f>
        <v>6.2999232987329415E-2</v>
      </c>
      <c r="I92" s="1"/>
      <c r="J92" s="1"/>
    </row>
    <row r="93" spans="1:10" ht="18.75" x14ac:dyDescent="0.3">
      <c r="A93" s="38"/>
      <c r="B93" s="32"/>
      <c r="C93" s="36"/>
      <c r="D93" s="51" t="s">
        <v>31</v>
      </c>
      <c r="E93" s="52"/>
      <c r="F93" s="56">
        <f>F23</f>
        <v>3.65</v>
      </c>
      <c r="G93" s="51" t="s">
        <v>32</v>
      </c>
      <c r="H93" s="57"/>
      <c r="I93" s="1"/>
      <c r="J93" s="1"/>
    </row>
    <row r="94" spans="1:10" ht="19.5" thickBot="1" x14ac:dyDescent="0.35">
      <c r="A94" s="38"/>
      <c r="B94" s="32"/>
      <c r="C94" s="32"/>
      <c r="D94" s="36"/>
      <c r="E94" s="45"/>
      <c r="F94" s="49"/>
      <c r="G94" s="45"/>
      <c r="H94" s="58"/>
      <c r="I94" s="1"/>
      <c r="J94" s="1"/>
    </row>
    <row r="95" spans="1:10" ht="18.75" x14ac:dyDescent="0.3">
      <c r="A95" s="59" t="s">
        <v>33</v>
      </c>
      <c r="B95" s="60"/>
      <c r="C95" s="60"/>
      <c r="D95" s="60"/>
      <c r="E95" s="60"/>
      <c r="F95" s="60"/>
      <c r="G95" s="60"/>
      <c r="H95" s="61"/>
      <c r="I95" s="1"/>
      <c r="J95" s="1"/>
    </row>
    <row r="96" spans="1:10" ht="30" x14ac:dyDescent="0.25">
      <c r="A96" s="62" t="s">
        <v>34</v>
      </c>
      <c r="B96" s="63"/>
      <c r="C96" s="63"/>
      <c r="D96" s="64" t="s">
        <v>35</v>
      </c>
      <c r="E96" s="64" t="s">
        <v>36</v>
      </c>
      <c r="F96" s="64" t="s">
        <v>37</v>
      </c>
      <c r="G96" s="64" t="s">
        <v>38</v>
      </c>
      <c r="H96" s="65" t="s">
        <v>39</v>
      </c>
      <c r="I96" s="1"/>
      <c r="J96" s="1"/>
    </row>
    <row r="97" spans="1:8" x14ac:dyDescent="0.25">
      <c r="A97" s="38"/>
      <c r="B97" s="49" t="s">
        <v>40</v>
      </c>
      <c r="C97" s="49" t="s">
        <v>41</v>
      </c>
      <c r="D97" s="66">
        <f>ROUND(H82-D98-D99,0)</f>
        <v>166</v>
      </c>
      <c r="E97" s="67">
        <v>810</v>
      </c>
      <c r="F97" s="68">
        <f>+G97*E97</f>
        <v>2956.5</v>
      </c>
      <c r="G97" s="69">
        <f>F93</f>
        <v>3.65</v>
      </c>
      <c r="H97" s="70">
        <f>+D97*F97*12</f>
        <v>5889348</v>
      </c>
    </row>
    <row r="98" spans="1:8" x14ac:dyDescent="0.25">
      <c r="A98" s="38"/>
      <c r="B98" s="71" t="s">
        <v>42</v>
      </c>
      <c r="C98" s="49" t="s">
        <v>43</v>
      </c>
      <c r="D98" s="66">
        <f>H84</f>
        <v>25</v>
      </c>
      <c r="E98" s="67">
        <v>810</v>
      </c>
      <c r="F98" s="68">
        <v>1098.26</v>
      </c>
      <c r="G98" s="72">
        <f>IF(H98=0,0,+H98/(E98*D98)/12)</f>
        <v>1.3558765432098765</v>
      </c>
      <c r="H98" s="70">
        <f>+F98*D98*12</f>
        <v>329478</v>
      </c>
    </row>
    <row r="99" spans="1:8" x14ac:dyDescent="0.25">
      <c r="A99" s="38"/>
      <c r="B99" s="71" t="s">
        <v>44</v>
      </c>
      <c r="C99" s="49" t="s">
        <v>45</v>
      </c>
      <c r="D99" s="66">
        <f>H85</f>
        <v>0</v>
      </c>
      <c r="E99" s="67">
        <v>810</v>
      </c>
      <c r="F99" s="68">
        <v>784.93925925925919</v>
      </c>
      <c r="G99" s="73">
        <f>IF(H99=0,0,+H99/(E99*D99)/12)</f>
        <v>0</v>
      </c>
      <c r="H99" s="70">
        <f>+F99*D99*12</f>
        <v>0</v>
      </c>
    </row>
    <row r="100" spans="1:8" x14ac:dyDescent="0.25">
      <c r="A100" s="38"/>
      <c r="B100" s="49" t="s">
        <v>46</v>
      </c>
      <c r="C100" s="49" t="s">
        <v>47</v>
      </c>
      <c r="D100" s="67">
        <v>0</v>
      </c>
      <c r="E100" s="67">
        <v>0</v>
      </c>
      <c r="F100" s="73">
        <v>0</v>
      </c>
      <c r="G100" s="73">
        <v>0</v>
      </c>
      <c r="H100" s="70">
        <f>+G100*E100*D100</f>
        <v>0</v>
      </c>
    </row>
    <row r="101" spans="1:8" x14ac:dyDescent="0.25">
      <c r="A101" s="38"/>
      <c r="B101" s="49"/>
      <c r="C101" s="49" t="s">
        <v>48</v>
      </c>
      <c r="D101" s="67">
        <v>0</v>
      </c>
      <c r="E101" s="67">
        <v>5000</v>
      </c>
      <c r="F101" s="73">
        <f>+G101/12</f>
        <v>0</v>
      </c>
      <c r="G101" s="73">
        <v>0</v>
      </c>
      <c r="H101" s="70">
        <f>+G101*E101*D101</f>
        <v>0</v>
      </c>
    </row>
    <row r="102" spans="1:8" x14ac:dyDescent="0.25">
      <c r="A102" s="38"/>
      <c r="B102" s="74" t="s">
        <v>49</v>
      </c>
      <c r="C102" s="74"/>
      <c r="D102" s="75">
        <f>+H82*H83</f>
        <v>143.00131578947367</v>
      </c>
      <c r="E102" s="76"/>
      <c r="F102" s="76"/>
      <c r="G102" s="76">
        <v>250</v>
      </c>
      <c r="H102" s="77">
        <f>+D102*G102*12</f>
        <v>429003.94736842095</v>
      </c>
    </row>
    <row r="103" spans="1:8" x14ac:dyDescent="0.25">
      <c r="A103" s="38"/>
      <c r="B103" s="49" t="s">
        <v>50</v>
      </c>
      <c r="C103" s="49"/>
      <c r="D103" s="66">
        <f>+H82</f>
        <v>190.66842105263157</v>
      </c>
      <c r="E103" s="67">
        <f>(E97*D97)+(E98*D98)</f>
        <v>154710</v>
      </c>
      <c r="F103" s="73"/>
      <c r="G103" s="68"/>
      <c r="H103" s="70">
        <f>SUM(H97:H102)</f>
        <v>6647829.9473684207</v>
      </c>
    </row>
    <row r="104" spans="1:8" x14ac:dyDescent="0.25">
      <c r="A104" s="38"/>
      <c r="B104" s="49" t="s">
        <v>51</v>
      </c>
      <c r="C104" s="49"/>
      <c r="D104" s="78">
        <v>0.85</v>
      </c>
      <c r="E104" s="67">
        <f>+H81</f>
        <v>181135</v>
      </c>
      <c r="F104" s="68"/>
      <c r="G104" s="68"/>
      <c r="H104" s="70"/>
    </row>
    <row r="105" spans="1:8" x14ac:dyDescent="0.25">
      <c r="A105" s="38"/>
      <c r="B105" s="49" t="s">
        <v>52</v>
      </c>
      <c r="C105" s="49"/>
      <c r="D105" s="78">
        <v>1</v>
      </c>
      <c r="E105" s="67">
        <f>(E100*D100)+(D101*E101)</f>
        <v>0</v>
      </c>
      <c r="F105" s="68"/>
      <c r="G105" s="68"/>
      <c r="H105" s="70"/>
    </row>
    <row r="106" spans="1:8" x14ac:dyDescent="0.25">
      <c r="A106" s="38"/>
      <c r="B106" s="49"/>
      <c r="C106" s="49"/>
      <c r="D106" s="67"/>
      <c r="E106" s="68"/>
      <c r="F106" s="68"/>
      <c r="G106" s="68"/>
      <c r="H106" s="70"/>
    </row>
    <row r="107" spans="1:8" ht="18.75" x14ac:dyDescent="0.3">
      <c r="A107" s="79" t="s">
        <v>53</v>
      </c>
      <c r="B107" s="49"/>
      <c r="C107" s="49" t="str">
        <f>+C97</f>
        <v>Market Rate</v>
      </c>
      <c r="D107" s="67"/>
      <c r="E107" s="68"/>
      <c r="F107" s="68"/>
      <c r="G107" s="80">
        <v>0.05</v>
      </c>
      <c r="H107" s="70">
        <f>-G107*H97</f>
        <v>-294467.40000000002</v>
      </c>
    </row>
    <row r="108" spans="1:8" ht="12.75" customHeight="1" x14ac:dyDescent="0.3">
      <c r="A108" s="79"/>
      <c r="B108" s="49"/>
      <c r="C108" s="49" t="str">
        <f>+C98</f>
        <v>Low Income</v>
      </c>
      <c r="D108" s="67"/>
      <c r="E108" s="68"/>
      <c r="F108" s="68"/>
      <c r="G108" s="80">
        <v>0</v>
      </c>
      <c r="H108" s="70">
        <f>-G108*H98</f>
        <v>0</v>
      </c>
    </row>
    <row r="109" spans="1:8" ht="12.75" customHeight="1" x14ac:dyDescent="0.3">
      <c r="A109" s="79"/>
      <c r="B109" s="49"/>
      <c r="C109" s="49" t="str">
        <f>+C100</f>
        <v>Market Rate Retail</v>
      </c>
      <c r="D109" s="67"/>
      <c r="E109" s="68"/>
      <c r="F109" s="68"/>
      <c r="G109" s="80">
        <v>0.1</v>
      </c>
      <c r="H109" s="70">
        <f>-G109*H100</f>
        <v>0</v>
      </c>
    </row>
    <row r="110" spans="1:8" x14ac:dyDescent="0.25">
      <c r="A110" s="38"/>
      <c r="B110" s="74"/>
      <c r="C110" s="74" t="str">
        <f>+C101</f>
        <v>Affordable Innovation</v>
      </c>
      <c r="D110" s="75"/>
      <c r="E110" s="76"/>
      <c r="F110" s="76"/>
      <c r="G110" s="81">
        <v>0.2</v>
      </c>
      <c r="H110" s="77">
        <f>-G110*H101</f>
        <v>0</v>
      </c>
    </row>
    <row r="111" spans="1:8" x14ac:dyDescent="0.25">
      <c r="A111" s="38"/>
      <c r="B111" s="49" t="s">
        <v>54</v>
      </c>
      <c r="C111" s="49"/>
      <c r="D111" s="67"/>
      <c r="E111" s="68"/>
      <c r="F111" s="68"/>
      <c r="G111" s="80"/>
      <c r="H111" s="70">
        <f>SUM(H107:H110)</f>
        <v>-294467.40000000002</v>
      </c>
    </row>
    <row r="112" spans="1:8" s="83" customFormat="1" ht="18.75" x14ac:dyDescent="0.3">
      <c r="A112" s="82"/>
      <c r="C112" s="45"/>
      <c r="D112" s="49"/>
      <c r="E112" s="49"/>
      <c r="F112" s="84"/>
      <c r="G112" s="85"/>
      <c r="H112" s="70"/>
    </row>
    <row r="113" spans="1:11" ht="18.75" x14ac:dyDescent="0.3">
      <c r="A113" s="79" t="s">
        <v>55</v>
      </c>
      <c r="B113" s="49"/>
      <c r="C113" s="49"/>
      <c r="D113" s="67"/>
      <c r="E113" s="68"/>
      <c r="F113" s="68"/>
      <c r="G113" s="68"/>
      <c r="H113" s="70">
        <f>+H103+H111</f>
        <v>6353362.5473684203</v>
      </c>
      <c r="I113" s="1"/>
      <c r="J113" s="1"/>
      <c r="K113" s="1"/>
    </row>
    <row r="114" spans="1:11" x14ac:dyDescent="0.25">
      <c r="A114" s="38"/>
      <c r="B114" s="49"/>
      <c r="C114" s="49"/>
      <c r="D114" s="67"/>
      <c r="E114" s="68"/>
      <c r="F114" s="68"/>
      <c r="G114" s="68"/>
      <c r="H114" s="70"/>
      <c r="I114" s="1"/>
      <c r="J114" s="1"/>
      <c r="K114" s="1"/>
    </row>
    <row r="115" spans="1:11" ht="18.75" x14ac:dyDescent="0.3">
      <c r="A115" s="79" t="s">
        <v>56</v>
      </c>
      <c r="B115" s="49"/>
      <c r="C115" s="49"/>
      <c r="D115" s="49"/>
      <c r="E115" s="49"/>
      <c r="F115" s="49"/>
      <c r="G115" s="49"/>
      <c r="H115" s="70"/>
      <c r="I115" s="1"/>
      <c r="J115" s="1" t="s">
        <v>99</v>
      </c>
      <c r="K115" s="1"/>
    </row>
    <row r="116" spans="1:11" x14ac:dyDescent="0.25">
      <c r="A116" s="38"/>
      <c r="B116" s="49" t="s">
        <v>57</v>
      </c>
      <c r="C116" s="49" t="s">
        <v>58</v>
      </c>
      <c r="D116" s="49"/>
      <c r="E116" s="49"/>
      <c r="F116" s="68">
        <v>7500</v>
      </c>
      <c r="G116" s="68" t="s">
        <v>59</v>
      </c>
      <c r="H116" s="70">
        <f>-F116*D103</f>
        <v>-1430013.1578947369</v>
      </c>
      <c r="I116" s="1"/>
      <c r="J116" s="1"/>
      <c r="K116" s="1"/>
    </row>
    <row r="117" spans="1:11" x14ac:dyDescent="0.25">
      <c r="A117" s="38"/>
      <c r="B117" s="49"/>
      <c r="C117" s="49" t="s">
        <v>60</v>
      </c>
      <c r="D117" s="78">
        <v>7.0000000000000007E-2</v>
      </c>
      <c r="E117" s="49" t="s">
        <v>61</v>
      </c>
      <c r="F117" s="68">
        <f>ROUND(-H117/D103,-2)</f>
        <v>2400</v>
      </c>
      <c r="G117" s="68" t="s">
        <v>59</v>
      </c>
      <c r="H117" s="70">
        <f>(H97+H98+H102)*-D117</f>
        <v>-465348.0963157895</v>
      </c>
      <c r="I117" s="1"/>
      <c r="J117" s="1"/>
      <c r="K117" s="1"/>
    </row>
    <row r="118" spans="1:11" x14ac:dyDescent="0.25">
      <c r="A118" s="38"/>
      <c r="B118" s="49"/>
      <c r="C118" s="49" t="s">
        <v>62</v>
      </c>
      <c r="D118" s="80">
        <v>2.5000000000000001E-2</v>
      </c>
      <c r="E118" s="49" t="s">
        <v>63</v>
      </c>
      <c r="F118" s="68">
        <f>-H118/D103</f>
        <v>828.06560403842434</v>
      </c>
      <c r="G118" s="68" t="s">
        <v>59</v>
      </c>
      <c r="H118" s="70">
        <f>-D118*((H97+H98+H102)*(1-G107))</f>
        <v>-157885.96124999999</v>
      </c>
      <c r="I118" s="1"/>
      <c r="J118" s="1"/>
      <c r="K118" s="1"/>
    </row>
    <row r="119" spans="1:11" x14ac:dyDescent="0.25">
      <c r="A119" s="38"/>
      <c r="B119" s="49"/>
      <c r="C119" s="49" t="s">
        <v>64</v>
      </c>
      <c r="D119" s="49"/>
      <c r="E119" s="49"/>
      <c r="F119" s="68">
        <v>250</v>
      </c>
      <c r="G119" s="68" t="s">
        <v>59</v>
      </c>
      <c r="H119" s="70">
        <f>-F119*D103</f>
        <v>-47667.105263157893</v>
      </c>
      <c r="I119" s="1"/>
      <c r="J119" s="1"/>
      <c r="K119" s="1"/>
    </row>
    <row r="120" spans="1:11" x14ac:dyDescent="0.25">
      <c r="A120" s="38"/>
      <c r="B120" s="74" t="s">
        <v>46</v>
      </c>
      <c r="C120" s="86" t="s">
        <v>65</v>
      </c>
      <c r="D120" s="74"/>
      <c r="E120" s="74"/>
      <c r="F120" s="87">
        <v>0.02</v>
      </c>
      <c r="G120" s="74" t="s">
        <v>66</v>
      </c>
      <c r="H120" s="77">
        <f>-F120*(H100+H101)</f>
        <v>0</v>
      </c>
      <c r="I120" s="1"/>
      <c r="J120" s="1"/>
      <c r="K120" s="1"/>
    </row>
    <row r="121" spans="1:11" x14ac:dyDescent="0.25">
      <c r="A121" s="38"/>
      <c r="B121" s="49" t="s">
        <v>67</v>
      </c>
      <c r="C121" s="49"/>
      <c r="D121" s="78">
        <f>-H121/H113</f>
        <v>0.33067754359364998</v>
      </c>
      <c r="E121" s="68" t="s">
        <v>68</v>
      </c>
      <c r="F121" s="68">
        <f>-H121/D103</f>
        <v>11018.680015941149</v>
      </c>
      <c r="G121" s="68" t="s">
        <v>59</v>
      </c>
      <c r="H121" s="70">
        <f>SUM(H116:H120)</f>
        <v>-2100914.320723684</v>
      </c>
      <c r="I121" s="1"/>
      <c r="J121" s="1"/>
      <c r="K121" s="1"/>
    </row>
    <row r="122" spans="1:11" ht="15.75" thickBot="1" x14ac:dyDescent="0.3">
      <c r="A122" s="38"/>
      <c r="B122" s="49"/>
      <c r="C122" s="49"/>
      <c r="D122" s="49"/>
      <c r="E122" s="32"/>
      <c r="F122" s="49"/>
      <c r="G122" s="49"/>
      <c r="H122" s="70"/>
      <c r="I122" s="1"/>
      <c r="J122" s="1"/>
      <c r="K122" s="1"/>
    </row>
    <row r="123" spans="1:11" ht="18.75" x14ac:dyDescent="0.3">
      <c r="A123" s="79" t="s">
        <v>69</v>
      </c>
      <c r="B123" s="49"/>
      <c r="C123" s="49"/>
      <c r="D123" s="78">
        <f>+H123/H113</f>
        <v>0.66932245640634991</v>
      </c>
      <c r="E123" s="68" t="s">
        <v>68</v>
      </c>
      <c r="F123" s="68">
        <f>+H123/D103</f>
        <v>22302.844924020752</v>
      </c>
      <c r="G123" s="68" t="s">
        <v>59</v>
      </c>
      <c r="H123" s="70">
        <f>+H113+H121</f>
        <v>4252448.2266447358</v>
      </c>
      <c r="I123" s="1"/>
      <c r="J123" s="88">
        <f>+H123/1.25</f>
        <v>3401958.5813157884</v>
      </c>
      <c r="K123" s="89" t="s">
        <v>70</v>
      </c>
    </row>
    <row r="124" spans="1:11" x14ac:dyDescent="0.25">
      <c r="A124" s="38"/>
      <c r="B124" s="49"/>
      <c r="C124" s="49"/>
      <c r="D124" s="49"/>
      <c r="E124" s="49"/>
      <c r="F124" s="49"/>
      <c r="G124" s="49"/>
      <c r="H124" s="70"/>
      <c r="I124" s="1"/>
      <c r="J124" s="90">
        <f>-J123/(PMT(0.04/12,30*12,1)*12)</f>
        <v>59381538.701349191</v>
      </c>
      <c r="K124" s="91" t="s">
        <v>71</v>
      </c>
    </row>
    <row r="125" spans="1:11" ht="18.75" x14ac:dyDescent="0.3">
      <c r="A125" s="79" t="s">
        <v>72</v>
      </c>
      <c r="B125" s="49"/>
      <c r="C125" s="49"/>
      <c r="D125" s="49"/>
      <c r="E125" s="49"/>
      <c r="F125" s="49"/>
      <c r="G125" s="49"/>
      <c r="H125" s="70"/>
      <c r="I125" s="1"/>
      <c r="J125" s="92">
        <f>+H139-J124</f>
        <v>8118461.2986508086</v>
      </c>
      <c r="K125" s="91" t="s">
        <v>73</v>
      </c>
    </row>
    <row r="126" spans="1:11" x14ac:dyDescent="0.25">
      <c r="A126" s="38"/>
      <c r="B126" s="49" t="s">
        <v>74</v>
      </c>
      <c r="C126" s="49"/>
      <c r="D126" s="49"/>
      <c r="E126" s="93" t="s">
        <v>75</v>
      </c>
      <c r="F126" s="94">
        <v>0.05</v>
      </c>
      <c r="G126" s="49" t="s">
        <v>76</v>
      </c>
      <c r="H126" s="70">
        <f>+H123/F126</f>
        <v>85048964.532894716</v>
      </c>
      <c r="I126" s="1"/>
      <c r="J126" s="92">
        <f>+H123-J123</f>
        <v>850489.64532894734</v>
      </c>
      <c r="K126" s="91" t="s">
        <v>77</v>
      </c>
    </row>
    <row r="127" spans="1:11" ht="15.75" thickBot="1" x14ac:dyDescent="0.3">
      <c r="A127" s="38"/>
      <c r="B127" s="49"/>
      <c r="C127" s="49"/>
      <c r="D127" s="49"/>
      <c r="E127" s="49"/>
      <c r="F127" s="49"/>
      <c r="G127" s="93" t="s">
        <v>78</v>
      </c>
      <c r="H127" s="70">
        <f>ROUND(H126,-5)</f>
        <v>85000000</v>
      </c>
      <c r="I127" s="1"/>
      <c r="J127" s="95">
        <f>+J126/J125</f>
        <v>0.10475995561748734</v>
      </c>
      <c r="K127" s="96" t="s">
        <v>79</v>
      </c>
    </row>
    <row r="128" spans="1:11" x14ac:dyDescent="0.25">
      <c r="A128" s="38"/>
      <c r="B128" s="49"/>
      <c r="C128" s="49"/>
      <c r="D128" s="49"/>
      <c r="E128" s="49"/>
      <c r="F128" s="49"/>
      <c r="G128" s="93" t="s">
        <v>80</v>
      </c>
      <c r="H128" s="70">
        <f>+H127/E104</f>
        <v>469.26325668700139</v>
      </c>
      <c r="I128" s="1"/>
      <c r="J128" s="1"/>
      <c r="K128" s="1"/>
    </row>
    <row r="129" spans="1:11" x14ac:dyDescent="0.25">
      <c r="A129" s="38"/>
      <c r="B129" s="49"/>
      <c r="C129" s="49"/>
      <c r="D129" s="49"/>
      <c r="E129" s="49"/>
      <c r="F129" s="49"/>
      <c r="G129" s="93" t="s">
        <v>59</v>
      </c>
      <c r="H129" s="70">
        <f>+H127/D103</f>
        <v>445800.09385265136</v>
      </c>
      <c r="I129" s="1"/>
      <c r="J129" s="1">
        <v>646091.59779614327</v>
      </c>
      <c r="K129" s="2">
        <f>+J129-H129</f>
        <v>200291.5039434919</v>
      </c>
    </row>
    <row r="130" spans="1:11" x14ac:dyDescent="0.25">
      <c r="A130" s="97"/>
      <c r="B130" s="74"/>
      <c r="C130" s="74"/>
      <c r="D130" s="74"/>
      <c r="E130" s="74"/>
      <c r="F130" s="74"/>
      <c r="G130" s="98"/>
      <c r="H130" s="77"/>
      <c r="I130" s="1"/>
      <c r="J130" s="1"/>
      <c r="K130" s="1"/>
    </row>
    <row r="131" spans="1:11" x14ac:dyDescent="0.25">
      <c r="A131" s="38"/>
      <c r="B131" s="49"/>
      <c r="C131" s="49"/>
      <c r="D131" s="49"/>
      <c r="E131" s="49"/>
      <c r="F131" s="94"/>
      <c r="G131" s="49"/>
      <c r="H131" s="70"/>
      <c r="I131" s="1"/>
      <c r="J131" s="1"/>
      <c r="K131" s="1"/>
    </row>
    <row r="132" spans="1:11" ht="19.5" thickBot="1" x14ac:dyDescent="0.35">
      <c r="A132" s="79" t="s">
        <v>81</v>
      </c>
      <c r="B132" s="49"/>
      <c r="C132" s="49"/>
      <c r="D132" s="49"/>
      <c r="E132" s="49"/>
      <c r="F132" s="49"/>
      <c r="G132" s="49"/>
      <c r="H132" s="70"/>
      <c r="I132" s="1"/>
      <c r="J132" s="1"/>
      <c r="K132" s="1"/>
    </row>
    <row r="133" spans="1:11" ht="19.5" thickBot="1" x14ac:dyDescent="0.35">
      <c r="A133" s="79"/>
      <c r="B133" s="49" t="s">
        <v>82</v>
      </c>
      <c r="C133" s="49"/>
      <c r="D133" s="68">
        <f>+H133/D103</f>
        <v>34236.660501835649</v>
      </c>
      <c r="E133" s="49" t="s">
        <v>59</v>
      </c>
      <c r="F133" s="73">
        <v>70</v>
      </c>
      <c r="G133" s="49" t="s">
        <v>83</v>
      </c>
      <c r="H133" s="99">
        <f>F133*H79</f>
        <v>6527850</v>
      </c>
      <c r="I133" s="1"/>
      <c r="J133" s="1"/>
      <c r="K133" s="1"/>
    </row>
    <row r="134" spans="1:11" ht="12.75" customHeight="1" x14ac:dyDescent="0.3">
      <c r="A134" s="79"/>
      <c r="B134" s="49" t="s">
        <v>84</v>
      </c>
      <c r="C134" s="49"/>
      <c r="D134" s="68">
        <v>300000</v>
      </c>
      <c r="E134" s="49" t="s">
        <v>59</v>
      </c>
      <c r="F134" s="67">
        <f>H89</f>
        <v>0</v>
      </c>
      <c r="G134" s="49" t="s">
        <v>35</v>
      </c>
      <c r="H134" s="70">
        <f>+F134*D134</f>
        <v>0</v>
      </c>
      <c r="I134" s="1"/>
      <c r="J134" s="1"/>
      <c r="K134" s="1"/>
    </row>
    <row r="135" spans="1:11" x14ac:dyDescent="0.25">
      <c r="A135" s="38"/>
      <c r="B135" s="49" t="s">
        <v>57</v>
      </c>
      <c r="C135" s="49"/>
      <c r="D135" s="49"/>
      <c r="E135" s="49"/>
      <c r="F135" s="73">
        <f>280*0.92</f>
        <v>257.60000000000002</v>
      </c>
      <c r="G135" s="49" t="s">
        <v>85</v>
      </c>
      <c r="H135" s="70">
        <f>+F135*E104</f>
        <v>46660376.000000007</v>
      </c>
      <c r="I135" s="1"/>
      <c r="J135" s="1"/>
      <c r="K135" s="1"/>
    </row>
    <row r="136" spans="1:11" x14ac:dyDescent="0.25">
      <c r="A136" s="38"/>
      <c r="B136" s="49" t="s">
        <v>46</v>
      </c>
      <c r="C136" s="49"/>
      <c r="D136" s="49"/>
      <c r="E136" s="49"/>
      <c r="F136" s="73">
        <v>280</v>
      </c>
      <c r="G136" s="49" t="s">
        <v>85</v>
      </c>
      <c r="H136" s="70">
        <f>F136*(E105)</f>
        <v>0</v>
      </c>
      <c r="I136" s="1"/>
      <c r="J136" s="1"/>
      <c r="K136" s="1"/>
    </row>
    <row r="137" spans="1:11" x14ac:dyDescent="0.25">
      <c r="A137" s="38"/>
      <c r="B137" s="49" t="s">
        <v>86</v>
      </c>
      <c r="C137" s="49" t="s">
        <v>87</v>
      </c>
      <c r="D137" s="67">
        <f>+D102</f>
        <v>143.00131578947367</v>
      </c>
      <c r="E137" s="32" t="s">
        <v>88</v>
      </c>
      <c r="F137" s="68">
        <v>35000</v>
      </c>
      <c r="G137" s="49" t="s">
        <v>89</v>
      </c>
      <c r="H137" s="70">
        <f>+F137*D102</f>
        <v>5005046.0526315784</v>
      </c>
      <c r="I137" s="1"/>
      <c r="J137" s="1"/>
      <c r="K137" s="1"/>
    </row>
    <row r="138" spans="1:11" x14ac:dyDescent="0.25">
      <c r="A138" s="38"/>
      <c r="B138" s="74" t="s">
        <v>90</v>
      </c>
      <c r="C138" s="74"/>
      <c r="D138" s="74"/>
      <c r="E138" s="74"/>
      <c r="F138" s="87">
        <v>0.2</v>
      </c>
      <c r="G138" s="74" t="s">
        <v>91</v>
      </c>
      <c r="H138" s="77">
        <f>ROUND((H135+H136)*F138,-5)</f>
        <v>9300000</v>
      </c>
      <c r="I138" s="1"/>
      <c r="J138" s="1"/>
      <c r="K138" s="1"/>
    </row>
    <row r="139" spans="1:11" x14ac:dyDescent="0.25">
      <c r="A139" s="38"/>
      <c r="B139" s="49"/>
      <c r="C139" s="49"/>
      <c r="D139" s="49"/>
      <c r="E139" s="49"/>
      <c r="F139" s="49"/>
      <c r="G139" s="93" t="s">
        <v>78</v>
      </c>
      <c r="H139" s="70">
        <f>ROUND(SUM(H133:H138),-5)</f>
        <v>67500000</v>
      </c>
      <c r="I139" s="1"/>
      <c r="J139" s="1"/>
      <c r="K139" s="1"/>
    </row>
    <row r="140" spans="1:11" x14ac:dyDescent="0.25">
      <c r="A140" s="38"/>
      <c r="B140" s="49"/>
      <c r="C140" s="49"/>
      <c r="D140" s="49"/>
      <c r="E140" s="49"/>
      <c r="F140" s="49"/>
      <c r="G140" s="93" t="s">
        <v>80</v>
      </c>
      <c r="H140" s="70">
        <f>+H139/(E104+E105)</f>
        <v>372.65023325144227</v>
      </c>
      <c r="I140" s="1"/>
      <c r="J140" s="1"/>
      <c r="K140" s="1"/>
    </row>
    <row r="141" spans="1:11" x14ac:dyDescent="0.25">
      <c r="A141" s="38"/>
      <c r="B141" s="49"/>
      <c r="C141" s="49"/>
      <c r="D141" s="49"/>
      <c r="E141" s="49"/>
      <c r="F141" s="49"/>
      <c r="G141" s="93" t="s">
        <v>59</v>
      </c>
      <c r="H141" s="70">
        <f>+H139/H82</f>
        <v>354017.72158887022</v>
      </c>
      <c r="I141" s="1"/>
      <c r="J141" s="1">
        <v>486340.6795224977</v>
      </c>
      <c r="K141" s="1"/>
    </row>
    <row r="142" spans="1:11" x14ac:dyDescent="0.25">
      <c r="A142" s="38"/>
      <c r="B142" s="49"/>
      <c r="C142" s="49"/>
      <c r="D142" s="49"/>
      <c r="E142" s="49"/>
      <c r="F142" s="49"/>
      <c r="G142" s="49"/>
      <c r="H142" s="70"/>
      <c r="I142" s="1"/>
      <c r="J142" s="1"/>
      <c r="K142" s="1"/>
    </row>
    <row r="143" spans="1:11" ht="18.75" x14ac:dyDescent="0.3">
      <c r="A143" s="100" t="s">
        <v>92</v>
      </c>
      <c r="B143" s="49"/>
      <c r="C143" s="49"/>
      <c r="D143" s="49"/>
      <c r="E143" s="93" t="s">
        <v>93</v>
      </c>
      <c r="F143" s="80">
        <f>+H123/H139</f>
        <v>6.2999232987329415E-2</v>
      </c>
      <c r="G143" s="93" t="s">
        <v>94</v>
      </c>
      <c r="H143" s="70">
        <f>+H127-H139</f>
        <v>17500000</v>
      </c>
      <c r="I143" s="1"/>
      <c r="J143" s="1"/>
      <c r="K143" s="1"/>
    </row>
    <row r="144" spans="1:11" ht="15.75" thickBot="1" x14ac:dyDescent="0.3">
      <c r="A144" s="101"/>
      <c r="B144" s="102"/>
      <c r="C144" s="102"/>
      <c r="D144" s="103"/>
      <c r="E144" s="103"/>
      <c r="F144" s="103"/>
      <c r="G144" s="102"/>
      <c r="H144" s="104"/>
      <c r="I144" s="1"/>
      <c r="J144" s="1"/>
      <c r="K144" s="1"/>
    </row>
    <row r="145" spans="1:11" ht="15.75" thickBot="1" x14ac:dyDescent="0.3">
      <c r="A145" s="38"/>
      <c r="B145" s="32"/>
      <c r="C145" s="32"/>
      <c r="D145" s="32"/>
      <c r="E145" s="32"/>
      <c r="F145" s="32"/>
      <c r="G145" s="32"/>
      <c r="H145" s="32"/>
      <c r="I145" s="1"/>
      <c r="J145" s="1"/>
    </row>
    <row r="146" spans="1:11" ht="18.75" x14ac:dyDescent="0.3">
      <c r="A146" s="3" t="s">
        <v>7</v>
      </c>
      <c r="B146" s="4"/>
      <c r="C146" s="5" t="s">
        <v>8</v>
      </c>
      <c r="D146" s="6" t="s">
        <v>9</v>
      </c>
      <c r="E146" s="7"/>
      <c r="F146" s="7"/>
      <c r="G146" s="8" t="s">
        <v>10</v>
      </c>
      <c r="H146" s="25" t="s">
        <v>11</v>
      </c>
      <c r="I146" s="1"/>
      <c r="J146" s="1"/>
    </row>
    <row r="147" spans="1:11" ht="18.75" x14ac:dyDescent="0.3">
      <c r="A147" s="26" t="s">
        <v>12</v>
      </c>
      <c r="B147" s="27"/>
      <c r="C147" s="11"/>
      <c r="D147" s="28" t="s">
        <v>1</v>
      </c>
      <c r="E147" s="12" t="s">
        <v>13</v>
      </c>
      <c r="F147" s="29">
        <v>1</v>
      </c>
      <c r="G147" s="30" t="s">
        <v>14</v>
      </c>
      <c r="H147" s="31">
        <v>113559</v>
      </c>
      <c r="I147" s="1"/>
      <c r="J147" s="1"/>
    </row>
    <row r="148" spans="1:11" ht="18.75" x14ac:dyDescent="0.3">
      <c r="A148" s="26" t="s">
        <v>100</v>
      </c>
      <c r="B148" s="27"/>
      <c r="C148" s="32"/>
      <c r="D148" s="11" t="s">
        <v>16</v>
      </c>
      <c r="E148" s="12"/>
      <c r="F148" s="33"/>
      <c r="G148" s="14" t="s">
        <v>4</v>
      </c>
      <c r="H148" s="15">
        <f>H149/H147</f>
        <v>2.9484232865734992</v>
      </c>
      <c r="I148" s="148" t="s">
        <v>138</v>
      </c>
      <c r="J148" s="146"/>
      <c r="K148" s="144" t="s">
        <v>139</v>
      </c>
    </row>
    <row r="149" spans="1:11" ht="19.5" thickBot="1" x14ac:dyDescent="0.35">
      <c r="A149" s="34" t="s">
        <v>17</v>
      </c>
      <c r="B149" s="35"/>
      <c r="C149" s="36"/>
      <c r="D149" s="11" t="s">
        <v>18</v>
      </c>
      <c r="E149" s="17"/>
      <c r="F149" s="17"/>
      <c r="G149" s="37" t="s">
        <v>19</v>
      </c>
      <c r="H149" s="31">
        <v>334820</v>
      </c>
      <c r="I149" s="145">
        <f>H147*2</f>
        <v>227118</v>
      </c>
      <c r="J149" s="146" t="s">
        <v>137</v>
      </c>
      <c r="K149" s="144">
        <f>I149/G150</f>
        <v>239.07157894736841</v>
      </c>
    </row>
    <row r="150" spans="1:11" ht="18.75" x14ac:dyDescent="0.3">
      <c r="A150" s="38"/>
      <c r="B150" s="32"/>
      <c r="C150" s="36"/>
      <c r="D150" s="11" t="s">
        <v>5</v>
      </c>
      <c r="E150" s="17"/>
      <c r="F150" s="17"/>
      <c r="G150" s="18">
        <f>G82</f>
        <v>950</v>
      </c>
      <c r="H150" s="39">
        <f>H149/G150</f>
        <v>352.44210526315788</v>
      </c>
      <c r="I150" s="145">
        <f>H149-I149</f>
        <v>107702</v>
      </c>
      <c r="J150" s="147" t="s">
        <v>140</v>
      </c>
      <c r="K150" s="144">
        <f>I150/G150</f>
        <v>113.37052631578948</v>
      </c>
    </row>
    <row r="151" spans="1:11" ht="18.75" x14ac:dyDescent="0.3">
      <c r="A151" s="38"/>
      <c r="B151" s="32"/>
      <c r="C151" s="1"/>
      <c r="D151" s="11" t="s">
        <v>20</v>
      </c>
      <c r="E151" s="17"/>
      <c r="F151" s="17"/>
      <c r="G151" s="41"/>
      <c r="H151" s="42">
        <v>0.75</v>
      </c>
      <c r="I151" s="143"/>
      <c r="J151" s="143"/>
      <c r="K151" s="144">
        <f>SUM(K149:K150)</f>
        <v>352.44210526315788</v>
      </c>
    </row>
    <row r="152" spans="1:11" ht="18.75" x14ac:dyDescent="0.3">
      <c r="A152" s="38"/>
      <c r="B152" s="32"/>
      <c r="C152" s="21" t="s">
        <v>21</v>
      </c>
      <c r="D152" s="21" t="s">
        <v>101</v>
      </c>
      <c r="E152" s="22"/>
      <c r="F152" s="22"/>
      <c r="G152" s="21"/>
      <c r="H152" s="141">
        <v>31</v>
      </c>
      <c r="I152" s="44">
        <f>H150*0.2</f>
        <v>70.48842105263158</v>
      </c>
      <c r="J152" s="1"/>
    </row>
    <row r="153" spans="1:11" ht="18.75" x14ac:dyDescent="0.3">
      <c r="A153" s="38"/>
      <c r="B153" s="32"/>
      <c r="C153" s="45"/>
      <c r="D153" s="21" t="s">
        <v>102</v>
      </c>
      <c r="E153" s="22"/>
      <c r="F153" s="22"/>
      <c r="G153" s="21"/>
      <c r="H153" s="141">
        <v>30</v>
      </c>
      <c r="I153" s="1"/>
      <c r="J153" s="152">
        <f>K149*0.13+K150*0.26</f>
        <v>60.555642105263161</v>
      </c>
    </row>
    <row r="154" spans="1:11" ht="18.75" x14ac:dyDescent="0.3">
      <c r="A154" s="38"/>
      <c r="B154" s="32"/>
      <c r="C154" s="45"/>
      <c r="D154" s="21" t="s">
        <v>23</v>
      </c>
      <c r="E154" s="22"/>
      <c r="F154" s="22"/>
      <c r="G154" s="21"/>
      <c r="H154" s="141">
        <f>SUM(H152:H153)</f>
        <v>61</v>
      </c>
      <c r="I154" s="1"/>
      <c r="J154" s="1"/>
    </row>
    <row r="155" spans="1:11" ht="18.75" x14ac:dyDescent="0.3">
      <c r="A155" s="38"/>
      <c r="B155" s="32"/>
      <c r="C155" s="1"/>
      <c r="D155" s="21" t="s">
        <v>24</v>
      </c>
      <c r="E155" s="22"/>
      <c r="F155" s="22"/>
      <c r="G155" s="21"/>
      <c r="H155" s="142">
        <f>(H154+H157)/H150</f>
        <v>0.17307807179977303</v>
      </c>
      <c r="I155" s="1"/>
      <c r="J155" s="1"/>
    </row>
    <row r="156" spans="1:11" ht="18.75" x14ac:dyDescent="0.3">
      <c r="A156" s="38"/>
      <c r="B156" s="32"/>
      <c r="C156" s="45"/>
      <c r="D156" s="21" t="s">
        <v>17</v>
      </c>
      <c r="E156" s="22"/>
      <c r="F156" s="22"/>
      <c r="G156" s="21"/>
      <c r="H156" s="47"/>
      <c r="I156" s="1"/>
      <c r="J156" s="1"/>
    </row>
    <row r="157" spans="1:11" ht="18.75" x14ac:dyDescent="0.3">
      <c r="A157" s="38"/>
      <c r="B157" s="32"/>
      <c r="C157" s="36"/>
      <c r="D157" s="21" t="s">
        <v>98</v>
      </c>
      <c r="E157" s="22"/>
      <c r="F157" s="22"/>
      <c r="G157" s="21"/>
      <c r="H157" s="23">
        <v>0</v>
      </c>
      <c r="I157" s="110">
        <f>J153-H154</f>
        <v>-0.4443578947368394</v>
      </c>
      <c r="J157" s="1"/>
    </row>
    <row r="158" spans="1:11" ht="18.75" x14ac:dyDescent="0.3">
      <c r="A158" s="38"/>
      <c r="B158" s="32"/>
      <c r="C158" s="36"/>
      <c r="D158" s="21" t="s">
        <v>27</v>
      </c>
      <c r="E158" s="22"/>
      <c r="F158" s="22"/>
      <c r="G158" s="21"/>
      <c r="H158" s="48">
        <v>300000</v>
      </c>
      <c r="I158" s="1"/>
      <c r="J158" s="1"/>
    </row>
    <row r="159" spans="1:11" ht="19.5" thickBot="1" x14ac:dyDescent="0.35">
      <c r="A159" s="38"/>
      <c r="B159" s="32"/>
      <c r="C159" s="49"/>
      <c r="D159" s="45"/>
      <c r="E159" s="45"/>
      <c r="F159" s="49"/>
      <c r="G159" s="45"/>
      <c r="H159" s="50"/>
      <c r="I159" s="1"/>
      <c r="J159" s="1"/>
    </row>
    <row r="160" spans="1:11" ht="19.5" thickBot="1" x14ac:dyDescent="0.35">
      <c r="A160" s="38"/>
      <c r="B160" s="32"/>
      <c r="C160" s="51" t="s">
        <v>28</v>
      </c>
      <c r="D160" s="51" t="s">
        <v>29</v>
      </c>
      <c r="E160" s="52"/>
      <c r="F160" s="53">
        <v>6.0999999999999999E-2</v>
      </c>
      <c r="G160" s="54" t="s">
        <v>30</v>
      </c>
      <c r="H160" s="55">
        <f>+F211</f>
        <v>6.1972353875783072E-2</v>
      </c>
      <c r="I160" s="1"/>
      <c r="J160" s="1"/>
    </row>
    <row r="161" spans="1:8" ht="18.75" x14ac:dyDescent="0.3">
      <c r="A161" s="38"/>
      <c r="B161" s="32"/>
      <c r="C161" s="36"/>
      <c r="D161" s="51" t="s">
        <v>31</v>
      </c>
      <c r="E161" s="52"/>
      <c r="F161" s="56">
        <f>F93</f>
        <v>3.65</v>
      </c>
      <c r="G161" s="51" t="s">
        <v>32</v>
      </c>
      <c r="H161" s="57"/>
    </row>
    <row r="162" spans="1:8" ht="19.5" thickBot="1" x14ac:dyDescent="0.35">
      <c r="A162" s="38"/>
      <c r="B162" s="32"/>
      <c r="C162" s="32"/>
      <c r="D162" s="36"/>
      <c r="E162" s="45"/>
      <c r="F162" s="49"/>
      <c r="G162" s="45"/>
      <c r="H162" s="58"/>
    </row>
    <row r="163" spans="1:8" ht="18.75" x14ac:dyDescent="0.3">
      <c r="A163" s="59" t="s">
        <v>33</v>
      </c>
      <c r="B163" s="60"/>
      <c r="C163" s="60"/>
      <c r="D163" s="60"/>
      <c r="E163" s="60"/>
      <c r="F163" s="60"/>
      <c r="G163" s="60"/>
      <c r="H163" s="61"/>
    </row>
    <row r="164" spans="1:8" ht="30" x14ac:dyDescent="0.25">
      <c r="A164" s="62" t="s">
        <v>34</v>
      </c>
      <c r="B164" s="63"/>
      <c r="C164" s="63"/>
      <c r="D164" s="64" t="s">
        <v>35</v>
      </c>
      <c r="E164" s="64" t="s">
        <v>36</v>
      </c>
      <c r="F164" s="64" t="s">
        <v>37</v>
      </c>
      <c r="G164" s="64" t="s">
        <v>38</v>
      </c>
      <c r="H164" s="65" t="s">
        <v>39</v>
      </c>
    </row>
    <row r="165" spans="1:8" x14ac:dyDescent="0.25">
      <c r="A165" s="38"/>
      <c r="B165" s="49" t="s">
        <v>40</v>
      </c>
      <c r="C165" s="49" t="s">
        <v>41</v>
      </c>
      <c r="D165" s="66">
        <f>ROUND(H150-D166-D167,0)</f>
        <v>291</v>
      </c>
      <c r="E165" s="67">
        <v>810</v>
      </c>
      <c r="F165" s="68">
        <f>+G165*E165</f>
        <v>2956.5</v>
      </c>
      <c r="G165" s="69">
        <f>F161</f>
        <v>3.65</v>
      </c>
      <c r="H165" s="70">
        <f>+D165*F165*12</f>
        <v>10324098</v>
      </c>
    </row>
    <row r="166" spans="1:8" x14ac:dyDescent="0.25">
      <c r="A166" s="38"/>
      <c r="B166" s="71" t="s">
        <v>42</v>
      </c>
      <c r="C166" s="49" t="s">
        <v>43</v>
      </c>
      <c r="D166" s="66">
        <f>H152</f>
        <v>31</v>
      </c>
      <c r="E166" s="67">
        <v>810</v>
      </c>
      <c r="F166" s="68">
        <v>1098.26</v>
      </c>
      <c r="G166" s="72">
        <f>IF(H166=0,0,+H166/(E166*D166)/12)</f>
        <v>1.3558765432098765</v>
      </c>
      <c r="H166" s="70">
        <f>+F166*D166*12</f>
        <v>408552.72</v>
      </c>
    </row>
    <row r="167" spans="1:8" x14ac:dyDescent="0.25">
      <c r="A167" s="38"/>
      <c r="B167" s="71" t="s">
        <v>44</v>
      </c>
      <c r="C167" s="49" t="s">
        <v>45</v>
      </c>
      <c r="D167" s="66">
        <f>H153</f>
        <v>30</v>
      </c>
      <c r="E167" s="67">
        <v>810</v>
      </c>
      <c r="F167" s="68">
        <v>784.93925925925919</v>
      </c>
      <c r="G167" s="73">
        <f>IF(H167=0,0,+H167/(E167*D167)/12)</f>
        <v>0.96906081390031995</v>
      </c>
      <c r="H167" s="70">
        <f>+F167*D167*12</f>
        <v>282578.1333333333</v>
      </c>
    </row>
    <row r="168" spans="1:8" x14ac:dyDescent="0.25">
      <c r="A168" s="38"/>
      <c r="B168" s="49" t="s">
        <v>46</v>
      </c>
      <c r="C168" s="49" t="s">
        <v>47</v>
      </c>
      <c r="D168" s="67">
        <v>0</v>
      </c>
      <c r="E168" s="67">
        <v>0</v>
      </c>
      <c r="F168" s="73">
        <v>0</v>
      </c>
      <c r="G168" s="73">
        <v>0</v>
      </c>
      <c r="H168" s="70">
        <f>+G168*E168*D168</f>
        <v>0</v>
      </c>
    </row>
    <row r="169" spans="1:8" x14ac:dyDescent="0.25">
      <c r="A169" s="38"/>
      <c r="B169" s="49"/>
      <c r="C169" s="49" t="s">
        <v>48</v>
      </c>
      <c r="D169" s="67">
        <v>0</v>
      </c>
      <c r="E169" s="67">
        <v>5000</v>
      </c>
      <c r="F169" s="73">
        <f>+G169/12</f>
        <v>0</v>
      </c>
      <c r="G169" s="73">
        <v>0</v>
      </c>
      <c r="H169" s="70">
        <f>+G169*E169*D169</f>
        <v>0</v>
      </c>
    </row>
    <row r="170" spans="1:8" x14ac:dyDescent="0.25">
      <c r="A170" s="38"/>
      <c r="B170" s="74" t="s">
        <v>49</v>
      </c>
      <c r="C170" s="74"/>
      <c r="D170" s="75">
        <f>+H150*H151</f>
        <v>264.33157894736843</v>
      </c>
      <c r="E170" s="76"/>
      <c r="F170" s="76"/>
      <c r="G170" s="76">
        <v>250</v>
      </c>
      <c r="H170" s="77">
        <f>+D170*G170*12</f>
        <v>792994.73684210528</v>
      </c>
    </row>
    <row r="171" spans="1:8" x14ac:dyDescent="0.25">
      <c r="A171" s="38"/>
      <c r="B171" s="49" t="s">
        <v>50</v>
      </c>
      <c r="C171" s="49"/>
      <c r="D171" s="66">
        <f>+H150</f>
        <v>352.44210526315788</v>
      </c>
      <c r="E171" s="67">
        <f>(E165*D165)+(E166*D166)</f>
        <v>260820</v>
      </c>
      <c r="F171" s="73"/>
      <c r="G171" s="68"/>
      <c r="H171" s="70">
        <f>SUM(H165:H170)</f>
        <v>11808223.590175439</v>
      </c>
    </row>
    <row r="172" spans="1:8" x14ac:dyDescent="0.25">
      <c r="A172" s="38"/>
      <c r="B172" s="49" t="s">
        <v>51</v>
      </c>
      <c r="C172" s="49"/>
      <c r="D172" s="78">
        <v>0.85</v>
      </c>
      <c r="E172" s="67">
        <f>+H149</f>
        <v>334820</v>
      </c>
      <c r="F172" s="68"/>
      <c r="G172" s="68"/>
      <c r="H172" s="70"/>
    </row>
    <row r="173" spans="1:8" x14ac:dyDescent="0.25">
      <c r="A173" s="38"/>
      <c r="B173" s="49" t="s">
        <v>52</v>
      </c>
      <c r="C173" s="49"/>
      <c r="D173" s="78">
        <v>1</v>
      </c>
      <c r="E173" s="67">
        <f>(E168*D168)+(D169*E169)</f>
        <v>0</v>
      </c>
      <c r="F173" s="68"/>
      <c r="G173" s="68"/>
      <c r="H173" s="70"/>
    </row>
    <row r="174" spans="1:8" x14ac:dyDescent="0.25">
      <c r="A174" s="38"/>
      <c r="B174" s="49"/>
      <c r="C174" s="49"/>
      <c r="D174" s="67"/>
      <c r="E174" s="68"/>
      <c r="F174" s="68"/>
      <c r="G174" s="68"/>
      <c r="H174" s="70"/>
    </row>
    <row r="175" spans="1:8" ht="18.75" x14ac:dyDescent="0.3">
      <c r="A175" s="79" t="s">
        <v>53</v>
      </c>
      <c r="B175" s="49"/>
      <c r="C175" s="49" t="str">
        <f>+C165</f>
        <v>Market Rate</v>
      </c>
      <c r="D175" s="67"/>
      <c r="E175" s="68"/>
      <c r="F175" s="68"/>
      <c r="G175" s="80">
        <v>0.05</v>
      </c>
      <c r="H175" s="70">
        <f>-G175*H165</f>
        <v>-516204.9</v>
      </c>
    </row>
    <row r="176" spans="1:8" ht="12.75" customHeight="1" x14ac:dyDescent="0.3">
      <c r="A176" s="79"/>
      <c r="B176" s="49"/>
      <c r="C176" s="49" t="str">
        <f>+C166</f>
        <v>Low Income</v>
      </c>
      <c r="D176" s="67"/>
      <c r="E176" s="68"/>
      <c r="F176" s="68"/>
      <c r="G176" s="80">
        <v>0</v>
      </c>
      <c r="H176" s="70">
        <f>-G176*H166</f>
        <v>0</v>
      </c>
    </row>
    <row r="177" spans="1:11" ht="12.75" customHeight="1" x14ac:dyDescent="0.3">
      <c r="A177" s="79"/>
      <c r="B177" s="49"/>
      <c r="C177" s="49" t="str">
        <f>+C168</f>
        <v>Market Rate Retail</v>
      </c>
      <c r="D177" s="67"/>
      <c r="E177" s="68"/>
      <c r="F177" s="68"/>
      <c r="G177" s="80">
        <v>0.1</v>
      </c>
      <c r="H177" s="70">
        <f>-G177*H168</f>
        <v>0</v>
      </c>
      <c r="I177" s="1"/>
      <c r="J177" s="1"/>
      <c r="K177" s="1"/>
    </row>
    <row r="178" spans="1:11" x14ac:dyDescent="0.25">
      <c r="A178" s="38"/>
      <c r="B178" s="74"/>
      <c r="C178" s="74" t="str">
        <f>+C169</f>
        <v>Affordable Innovation</v>
      </c>
      <c r="D178" s="75"/>
      <c r="E178" s="76"/>
      <c r="F178" s="76"/>
      <c r="G178" s="81">
        <v>0.2</v>
      </c>
      <c r="H178" s="77">
        <f>-G178*H169</f>
        <v>0</v>
      </c>
      <c r="I178" s="1"/>
      <c r="J178" s="1"/>
      <c r="K178" s="1"/>
    </row>
    <row r="179" spans="1:11" x14ac:dyDescent="0.25">
      <c r="A179" s="38"/>
      <c r="B179" s="49" t="s">
        <v>54</v>
      </c>
      <c r="C179" s="49"/>
      <c r="D179" s="67"/>
      <c r="E179" s="68"/>
      <c r="F179" s="68"/>
      <c r="G179" s="80"/>
      <c r="H179" s="70">
        <f>SUM(H175:H178)</f>
        <v>-516204.9</v>
      </c>
      <c r="I179" s="1"/>
      <c r="J179" s="1"/>
      <c r="K179" s="1"/>
    </row>
    <row r="180" spans="1:11" s="83" customFormat="1" ht="18.75" x14ac:dyDescent="0.3">
      <c r="A180" s="82"/>
      <c r="C180" s="45"/>
      <c r="D180" s="49"/>
      <c r="E180" s="49"/>
      <c r="F180" s="84"/>
      <c r="G180" s="85"/>
      <c r="H180" s="70"/>
    </row>
    <row r="181" spans="1:11" ht="18.75" x14ac:dyDescent="0.3">
      <c r="A181" s="79" t="s">
        <v>55</v>
      </c>
      <c r="B181" s="49"/>
      <c r="C181" s="49"/>
      <c r="D181" s="67"/>
      <c r="E181" s="68"/>
      <c r="F181" s="68"/>
      <c r="G181" s="68"/>
      <c r="H181" s="70">
        <f>+H171+H179</f>
        <v>11292018.690175438</v>
      </c>
      <c r="I181" s="1"/>
      <c r="J181" s="1"/>
      <c r="K181" s="1"/>
    </row>
    <row r="182" spans="1:11" x14ac:dyDescent="0.25">
      <c r="A182" s="38"/>
      <c r="B182" s="49"/>
      <c r="C182" s="49"/>
      <c r="D182" s="67"/>
      <c r="E182" s="68"/>
      <c r="F182" s="68"/>
      <c r="G182" s="68"/>
      <c r="H182" s="70"/>
      <c r="I182" s="1"/>
      <c r="J182" s="1"/>
      <c r="K182" s="1"/>
    </row>
    <row r="183" spans="1:11" ht="18.75" x14ac:dyDescent="0.3">
      <c r="A183" s="79" t="s">
        <v>56</v>
      </c>
      <c r="B183" s="49"/>
      <c r="C183" s="49"/>
      <c r="D183" s="49"/>
      <c r="E183" s="49"/>
      <c r="F183" s="49"/>
      <c r="G183" s="49"/>
      <c r="H183" s="70"/>
      <c r="I183" s="1"/>
      <c r="J183" s="1"/>
      <c r="K183" s="1"/>
    </row>
    <row r="184" spans="1:11" x14ac:dyDescent="0.25">
      <c r="A184" s="38"/>
      <c r="B184" s="49" t="s">
        <v>57</v>
      </c>
      <c r="C184" s="49" t="s">
        <v>58</v>
      </c>
      <c r="D184" s="49"/>
      <c r="E184" s="49"/>
      <c r="F184" s="68">
        <v>7500</v>
      </c>
      <c r="G184" s="68" t="s">
        <v>59</v>
      </c>
      <c r="H184" s="70">
        <f>-F184*D171</f>
        <v>-2643315.789473684</v>
      </c>
      <c r="I184" s="1"/>
      <c r="J184" s="1"/>
      <c r="K184" s="1"/>
    </row>
    <row r="185" spans="1:11" x14ac:dyDescent="0.25">
      <c r="A185" s="38"/>
      <c r="B185" s="49"/>
      <c r="C185" s="49" t="s">
        <v>60</v>
      </c>
      <c r="D185" s="78">
        <v>7.0000000000000007E-2</v>
      </c>
      <c r="E185" s="49" t="s">
        <v>61</v>
      </c>
      <c r="F185" s="68">
        <f>ROUND(-H185/D171,-2)</f>
        <v>2300</v>
      </c>
      <c r="G185" s="68" t="s">
        <v>59</v>
      </c>
      <c r="H185" s="70">
        <f>(H165+H166+H170)*-D185</f>
        <v>-806795.18197894748</v>
      </c>
      <c r="I185" s="1"/>
      <c r="J185" s="1"/>
      <c r="K185" s="1"/>
    </row>
    <row r="186" spans="1:11" x14ac:dyDescent="0.25">
      <c r="A186" s="38"/>
      <c r="B186" s="49"/>
      <c r="C186" s="49" t="s">
        <v>62</v>
      </c>
      <c r="D186" s="80">
        <v>2.5000000000000001E-2</v>
      </c>
      <c r="E186" s="49" t="s">
        <v>63</v>
      </c>
      <c r="F186" s="68">
        <f>-H186/D171</f>
        <v>776.67814234514071</v>
      </c>
      <c r="G186" s="68" t="s">
        <v>59</v>
      </c>
      <c r="H186" s="70">
        <f>-D186*((H165+H166+H170)*(1-G175))</f>
        <v>-273734.0796</v>
      </c>
      <c r="I186" s="1"/>
      <c r="J186" s="1"/>
      <c r="K186" s="1"/>
    </row>
    <row r="187" spans="1:11" x14ac:dyDescent="0.25">
      <c r="A187" s="38"/>
      <c r="B187" s="49"/>
      <c r="C187" s="49" t="s">
        <v>64</v>
      </c>
      <c r="D187" s="49"/>
      <c r="E187" s="49"/>
      <c r="F187" s="68">
        <v>250</v>
      </c>
      <c r="G187" s="68" t="s">
        <v>59</v>
      </c>
      <c r="H187" s="70">
        <f>-F187*D171</f>
        <v>-88110.526315789466</v>
      </c>
      <c r="I187" s="1"/>
      <c r="J187" s="1"/>
      <c r="K187" s="1"/>
    </row>
    <row r="188" spans="1:11" x14ac:dyDescent="0.25">
      <c r="A188" s="38"/>
      <c r="B188" s="74" t="s">
        <v>46</v>
      </c>
      <c r="C188" s="86" t="s">
        <v>65</v>
      </c>
      <c r="D188" s="74"/>
      <c r="E188" s="74"/>
      <c r="F188" s="87">
        <v>0.02</v>
      </c>
      <c r="G188" s="74" t="s">
        <v>66</v>
      </c>
      <c r="H188" s="77">
        <f>-F188*(H168+H169)</f>
        <v>0</v>
      </c>
      <c r="I188" s="1"/>
      <c r="J188" s="1"/>
      <c r="K188" s="1"/>
    </row>
    <row r="189" spans="1:11" x14ac:dyDescent="0.25">
      <c r="A189" s="38"/>
      <c r="B189" s="49" t="s">
        <v>67</v>
      </c>
      <c r="C189" s="49"/>
      <c r="D189" s="78">
        <f>-H189/H181</f>
        <v>0.33757963761475113</v>
      </c>
      <c r="E189" s="68" t="s">
        <v>68</v>
      </c>
      <c r="F189" s="68">
        <f>-H189/D171</f>
        <v>10815.83477241503</v>
      </c>
      <c r="G189" s="68" t="s">
        <v>59</v>
      </c>
      <c r="H189" s="70">
        <f>SUM(H184:H188)</f>
        <v>-3811955.577368421</v>
      </c>
      <c r="I189" s="1"/>
      <c r="J189" s="1"/>
      <c r="K189" s="1"/>
    </row>
    <row r="190" spans="1:11" ht="15.75" thickBot="1" x14ac:dyDescent="0.3">
      <c r="A190" s="38"/>
      <c r="B190" s="49"/>
      <c r="C190" s="49"/>
      <c r="D190" s="49"/>
      <c r="E190" s="32"/>
      <c r="F190" s="49"/>
      <c r="G190" s="49"/>
      <c r="H190" s="70"/>
      <c r="I190" s="1"/>
      <c r="J190" s="1"/>
      <c r="K190" s="1"/>
    </row>
    <row r="191" spans="1:11" ht="18.75" x14ac:dyDescent="0.3">
      <c r="A191" s="79" t="s">
        <v>69</v>
      </c>
      <c r="B191" s="49"/>
      <c r="C191" s="49"/>
      <c r="D191" s="78">
        <f>+H191/H181</f>
        <v>0.66242036238524882</v>
      </c>
      <c r="E191" s="68" t="s">
        <v>68</v>
      </c>
      <c r="F191" s="68">
        <f>+H191/D171</f>
        <v>21223.522959102404</v>
      </c>
      <c r="G191" s="68" t="s">
        <v>59</v>
      </c>
      <c r="H191" s="70">
        <f>+H181+H189</f>
        <v>7480063.1128070168</v>
      </c>
      <c r="I191" s="1"/>
      <c r="J191" s="88">
        <f>+H191/1.25</f>
        <v>5984050.4902456133</v>
      </c>
      <c r="K191" s="89" t="s">
        <v>70</v>
      </c>
    </row>
    <row r="192" spans="1:11" x14ac:dyDescent="0.25">
      <c r="A192" s="38"/>
      <c r="B192" s="49"/>
      <c r="C192" s="49"/>
      <c r="D192" s="49"/>
      <c r="E192" s="49"/>
      <c r="F192" s="49"/>
      <c r="G192" s="49"/>
      <c r="H192" s="70"/>
      <c r="I192" s="1"/>
      <c r="J192" s="90">
        <f>-J191/(PMT(0.04/12,30*12,1)*12)</f>
        <v>104452219.8856138</v>
      </c>
      <c r="K192" s="91" t="s">
        <v>71</v>
      </c>
    </row>
    <row r="193" spans="1:11" ht="18.75" x14ac:dyDescent="0.3">
      <c r="A193" s="79" t="s">
        <v>72</v>
      </c>
      <c r="B193" s="49"/>
      <c r="C193" s="49"/>
      <c r="D193" s="49"/>
      <c r="E193" s="49"/>
      <c r="F193" s="49"/>
      <c r="G193" s="49"/>
      <c r="H193" s="70"/>
      <c r="I193" s="1"/>
      <c r="J193" s="92">
        <f>+H207-J192</f>
        <v>16247780.114386201</v>
      </c>
      <c r="K193" s="91" t="s">
        <v>73</v>
      </c>
    </row>
    <row r="194" spans="1:11" x14ac:dyDescent="0.25">
      <c r="A194" s="38"/>
      <c r="B194" s="49" t="s">
        <v>74</v>
      </c>
      <c r="C194" s="49"/>
      <c r="D194" s="49"/>
      <c r="E194" s="93" t="s">
        <v>75</v>
      </c>
      <c r="F194" s="94">
        <v>0.05</v>
      </c>
      <c r="G194" s="49" t="s">
        <v>76</v>
      </c>
      <c r="H194" s="70">
        <f>+H191/F194</f>
        <v>149601262.25614032</v>
      </c>
      <c r="I194" s="1"/>
      <c r="J194" s="92">
        <f>+H191-J191</f>
        <v>1496012.6225614036</v>
      </c>
      <c r="K194" s="91" t="s">
        <v>77</v>
      </c>
    </row>
    <row r="195" spans="1:11" ht="15.75" thickBot="1" x14ac:dyDescent="0.3">
      <c r="A195" s="38"/>
      <c r="B195" s="49"/>
      <c r="C195" s="49"/>
      <c r="D195" s="49"/>
      <c r="E195" s="49"/>
      <c r="F195" s="49"/>
      <c r="G195" s="93" t="s">
        <v>78</v>
      </c>
      <c r="H195" s="70">
        <f>ROUND(H194,-5)</f>
        <v>149600000</v>
      </c>
      <c r="I195" s="1"/>
      <c r="J195" s="95">
        <f>+J194/J193</f>
        <v>9.2074893433398669E-2</v>
      </c>
      <c r="K195" s="96" t="s">
        <v>79</v>
      </c>
    </row>
    <row r="196" spans="1:11" x14ac:dyDescent="0.25">
      <c r="A196" s="38"/>
      <c r="B196" s="49"/>
      <c r="C196" s="49"/>
      <c r="D196" s="49"/>
      <c r="E196" s="49"/>
      <c r="F196" s="49"/>
      <c r="G196" s="93" t="s">
        <v>80</v>
      </c>
      <c r="H196" s="70">
        <f>+H195/E172</f>
        <v>446.80723971088941</v>
      </c>
      <c r="I196" s="1"/>
      <c r="J196" s="1"/>
      <c r="K196" s="1"/>
    </row>
    <row r="197" spans="1:11" x14ac:dyDescent="0.25">
      <c r="A197" s="38"/>
      <c r="B197" s="49"/>
      <c r="C197" s="49"/>
      <c r="D197" s="49"/>
      <c r="E197" s="49"/>
      <c r="F197" s="49"/>
      <c r="G197" s="93" t="s">
        <v>59</v>
      </c>
      <c r="H197" s="70">
        <f>+H195/D171</f>
        <v>424466.87772534497</v>
      </c>
      <c r="I197" s="1"/>
      <c r="J197" s="1">
        <v>646091.59779614327</v>
      </c>
      <c r="K197" s="2">
        <f>+J197-H197</f>
        <v>221624.7200707983</v>
      </c>
    </row>
    <row r="198" spans="1:11" x14ac:dyDescent="0.25">
      <c r="A198" s="97"/>
      <c r="B198" s="74"/>
      <c r="C198" s="74"/>
      <c r="D198" s="74"/>
      <c r="E198" s="74"/>
      <c r="F198" s="74"/>
      <c r="G198" s="98"/>
      <c r="H198" s="77"/>
      <c r="I198" s="1"/>
      <c r="J198" s="1"/>
      <c r="K198" s="1"/>
    </row>
    <row r="199" spans="1:11" x14ac:dyDescent="0.25">
      <c r="A199" s="38"/>
      <c r="B199" s="49"/>
      <c r="C199" s="49"/>
      <c r="D199" s="49"/>
      <c r="E199" s="49"/>
      <c r="F199" s="94"/>
      <c r="G199" s="49"/>
      <c r="H199" s="70"/>
      <c r="I199" s="1"/>
      <c r="J199" s="1"/>
      <c r="K199" s="1"/>
    </row>
    <row r="200" spans="1:11" ht="19.5" thickBot="1" x14ac:dyDescent="0.35">
      <c r="A200" s="79" t="s">
        <v>81</v>
      </c>
      <c r="B200" s="49"/>
      <c r="C200" s="49"/>
      <c r="D200" s="49"/>
      <c r="E200" s="49"/>
      <c r="F200" s="49"/>
      <c r="G200" s="49"/>
      <c r="H200" s="70"/>
      <c r="I200" s="1"/>
      <c r="J200" s="1"/>
      <c r="K200" s="1"/>
    </row>
    <row r="201" spans="1:11" ht="19.5" thickBot="1" x14ac:dyDescent="0.35">
      <c r="A201" s="79"/>
      <c r="B201" s="49" t="s">
        <v>82</v>
      </c>
      <c r="C201" s="49"/>
      <c r="D201" s="68">
        <f>+H201/D171</f>
        <v>22554.427752225078</v>
      </c>
      <c r="E201" s="49" t="s">
        <v>59</v>
      </c>
      <c r="F201" s="73">
        <v>70</v>
      </c>
      <c r="G201" s="49" t="s">
        <v>83</v>
      </c>
      <c r="H201" s="99">
        <f>F201*H147</f>
        <v>7949130</v>
      </c>
      <c r="I201" s="1"/>
      <c r="J201" s="1"/>
      <c r="K201" s="1"/>
    </row>
    <row r="202" spans="1:11" ht="12.75" customHeight="1" x14ac:dyDescent="0.3">
      <c r="A202" s="79"/>
      <c r="B202" s="49" t="s">
        <v>84</v>
      </c>
      <c r="C202" s="49"/>
      <c r="D202" s="68">
        <v>300000</v>
      </c>
      <c r="E202" s="49" t="s">
        <v>59</v>
      </c>
      <c r="F202" s="67">
        <f>H157</f>
        <v>0</v>
      </c>
      <c r="G202" s="49" t="s">
        <v>35</v>
      </c>
      <c r="H202" s="70">
        <f>+F202*D202</f>
        <v>0</v>
      </c>
      <c r="I202" s="1"/>
      <c r="J202" s="1"/>
      <c r="K202" s="1"/>
    </row>
    <row r="203" spans="1:11" x14ac:dyDescent="0.25">
      <c r="A203" s="38"/>
      <c r="B203" s="49" t="s">
        <v>57</v>
      </c>
      <c r="C203" s="49"/>
      <c r="D203" s="49"/>
      <c r="E203" s="49"/>
      <c r="F203" s="73">
        <f>280*0.92</f>
        <v>257.60000000000002</v>
      </c>
      <c r="G203" s="49" t="s">
        <v>85</v>
      </c>
      <c r="H203" s="70">
        <f>+F203*E172</f>
        <v>86249632.000000015</v>
      </c>
      <c r="I203" s="1"/>
      <c r="J203" s="1"/>
      <c r="K203" s="1"/>
    </row>
    <row r="204" spans="1:11" x14ac:dyDescent="0.25">
      <c r="A204" s="38"/>
      <c r="B204" s="49" t="s">
        <v>46</v>
      </c>
      <c r="C204" s="49"/>
      <c r="D204" s="49"/>
      <c r="E204" s="49"/>
      <c r="F204" s="73">
        <v>280</v>
      </c>
      <c r="G204" s="49" t="s">
        <v>85</v>
      </c>
      <c r="H204" s="70">
        <f>F204*(E173)</f>
        <v>0</v>
      </c>
      <c r="I204" s="1"/>
      <c r="J204" s="1"/>
      <c r="K204" s="1"/>
    </row>
    <row r="205" spans="1:11" x14ac:dyDescent="0.25">
      <c r="A205" s="38"/>
      <c r="B205" s="49" t="s">
        <v>86</v>
      </c>
      <c r="C205" s="49" t="s">
        <v>87</v>
      </c>
      <c r="D205" s="67">
        <f>+D170</f>
        <v>264.33157894736843</v>
      </c>
      <c r="E205" s="32" t="s">
        <v>88</v>
      </c>
      <c r="F205" s="68">
        <v>35000</v>
      </c>
      <c r="G205" s="49" t="s">
        <v>89</v>
      </c>
      <c r="H205" s="70">
        <f>+F205*D170</f>
        <v>9251605.2631578948</v>
      </c>
      <c r="I205" s="1"/>
      <c r="J205" s="1"/>
      <c r="K205" s="1"/>
    </row>
    <row r="206" spans="1:11" x14ac:dyDescent="0.25">
      <c r="A206" s="38"/>
      <c r="B206" s="74" t="s">
        <v>90</v>
      </c>
      <c r="C206" s="74"/>
      <c r="D206" s="74"/>
      <c r="E206" s="74"/>
      <c r="F206" s="87">
        <v>0.2</v>
      </c>
      <c r="G206" s="74" t="s">
        <v>91</v>
      </c>
      <c r="H206" s="77">
        <f>ROUND((H203+H204)*F206,-5)</f>
        <v>17200000</v>
      </c>
      <c r="I206" s="1"/>
      <c r="J206" s="1"/>
      <c r="K206" s="1"/>
    </row>
    <row r="207" spans="1:11" x14ac:dyDescent="0.25">
      <c r="A207" s="38"/>
      <c r="B207" s="49"/>
      <c r="C207" s="49"/>
      <c r="D207" s="49"/>
      <c r="E207" s="49"/>
      <c r="F207" s="49"/>
      <c r="G207" s="93" t="s">
        <v>78</v>
      </c>
      <c r="H207" s="70">
        <f>ROUND(SUM(H201:H206),-5)</f>
        <v>120700000</v>
      </c>
      <c r="I207" s="1"/>
      <c r="J207" s="1"/>
      <c r="K207" s="1"/>
    </row>
    <row r="208" spans="1:11" x14ac:dyDescent="0.25">
      <c r="A208" s="38"/>
      <c r="B208" s="49"/>
      <c r="C208" s="49"/>
      <c r="D208" s="49"/>
      <c r="E208" s="49"/>
      <c r="F208" s="49"/>
      <c r="G208" s="93" t="s">
        <v>80</v>
      </c>
      <c r="H208" s="70">
        <f>+H207/(E172+E173)</f>
        <v>360.49220476674031</v>
      </c>
      <c r="I208" s="1"/>
      <c r="J208" s="1"/>
      <c r="K208" s="1"/>
    </row>
    <row r="209" spans="1:11" x14ac:dyDescent="0.25">
      <c r="A209" s="38"/>
      <c r="B209" s="49"/>
      <c r="C209" s="49"/>
      <c r="D209" s="49"/>
      <c r="E209" s="49"/>
      <c r="F209" s="49"/>
      <c r="G209" s="93" t="s">
        <v>59</v>
      </c>
      <c r="H209" s="70">
        <f>+H207/H150</f>
        <v>342467.59452840331</v>
      </c>
      <c r="I209" s="1"/>
      <c r="J209" s="1">
        <v>486340.6795224977</v>
      </c>
    </row>
    <row r="210" spans="1:11" x14ac:dyDescent="0.25">
      <c r="A210" s="38"/>
      <c r="B210" s="49"/>
      <c r="C210" s="49"/>
      <c r="D210" s="49"/>
      <c r="E210" s="49"/>
      <c r="F210" s="49"/>
      <c r="G210" s="49"/>
      <c r="H210" s="70"/>
      <c r="I210" s="1"/>
      <c r="J210" s="1"/>
    </row>
    <row r="211" spans="1:11" ht="18.75" x14ac:dyDescent="0.3">
      <c r="A211" s="100" t="s">
        <v>92</v>
      </c>
      <c r="B211" s="49"/>
      <c r="C211" s="49"/>
      <c r="D211" s="49"/>
      <c r="E211" s="93" t="s">
        <v>93</v>
      </c>
      <c r="F211" s="80">
        <f>+H191/H207</f>
        <v>6.1972353875783072E-2</v>
      </c>
      <c r="G211" s="93" t="s">
        <v>94</v>
      </c>
      <c r="H211" s="70">
        <f>+H195-H207</f>
        <v>28900000</v>
      </c>
      <c r="I211" s="1"/>
      <c r="J211" s="1"/>
    </row>
    <row r="212" spans="1:11" ht="15.75" thickBot="1" x14ac:dyDescent="0.3">
      <c r="A212" s="101"/>
      <c r="B212" s="102"/>
      <c r="C212" s="102"/>
      <c r="D212" s="103"/>
      <c r="E212" s="103"/>
      <c r="F212" s="103"/>
      <c r="G212" s="102"/>
      <c r="H212" s="104"/>
      <c r="I212" s="1"/>
      <c r="J212" s="1"/>
    </row>
    <row r="213" spans="1:11" ht="15.75" thickBo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</row>
    <row r="214" spans="1:11" ht="18.75" x14ac:dyDescent="0.3">
      <c r="A214" s="3" t="s">
        <v>7</v>
      </c>
      <c r="B214" s="4"/>
      <c r="C214" s="5" t="s">
        <v>8</v>
      </c>
      <c r="D214" s="6" t="s">
        <v>9</v>
      </c>
      <c r="E214" s="7"/>
      <c r="F214" s="7"/>
      <c r="G214" s="8" t="s">
        <v>10</v>
      </c>
      <c r="H214" s="25" t="s">
        <v>11</v>
      </c>
      <c r="I214" s="1"/>
      <c r="J214" s="1"/>
    </row>
    <row r="215" spans="1:11" ht="18.75" x14ac:dyDescent="0.3">
      <c r="A215" s="26" t="s">
        <v>12</v>
      </c>
      <c r="B215" s="27"/>
      <c r="C215" s="11"/>
      <c r="D215" s="28" t="s">
        <v>1</v>
      </c>
      <c r="E215" s="12" t="s">
        <v>13</v>
      </c>
      <c r="F215" s="29">
        <v>1</v>
      </c>
      <c r="G215" s="30" t="s">
        <v>14</v>
      </c>
      <c r="H215" s="31">
        <v>175282.15384615384</v>
      </c>
      <c r="I215" s="1"/>
      <c r="J215" s="1"/>
    </row>
    <row r="216" spans="1:11" ht="18.75" x14ac:dyDescent="0.3">
      <c r="A216" s="26" t="s">
        <v>103</v>
      </c>
      <c r="B216" s="27"/>
      <c r="C216" s="32"/>
      <c r="D216" s="11" t="s">
        <v>16</v>
      </c>
      <c r="E216" s="12"/>
      <c r="F216" s="33"/>
      <c r="G216" s="14" t="s">
        <v>4</v>
      </c>
      <c r="H216" s="15">
        <f>H217/H215</f>
        <v>3.8122534743982013</v>
      </c>
      <c r="I216" s="148" t="s">
        <v>138</v>
      </c>
      <c r="J216" s="146"/>
      <c r="K216" s="144" t="s">
        <v>139</v>
      </c>
    </row>
    <row r="217" spans="1:11" ht="19.5" thickBot="1" x14ac:dyDescent="0.35">
      <c r="A217" s="34" t="s">
        <v>17</v>
      </c>
      <c r="B217" s="35"/>
      <c r="C217" s="36"/>
      <c r="D217" s="11" t="s">
        <v>18</v>
      </c>
      <c r="E217" s="17"/>
      <c r="F217" s="17"/>
      <c r="G217" s="37" t="s">
        <v>19</v>
      </c>
      <c r="H217" s="31">
        <v>668220</v>
      </c>
      <c r="I217" s="145">
        <f>H215*2</f>
        <v>350564.30769230769</v>
      </c>
      <c r="J217" s="146" t="s">
        <v>137</v>
      </c>
      <c r="K217" s="144">
        <f>I217/G218</f>
        <v>369.01506072874491</v>
      </c>
    </row>
    <row r="218" spans="1:11" ht="18.75" x14ac:dyDescent="0.3">
      <c r="A218" s="38"/>
      <c r="B218" s="32"/>
      <c r="C218" s="36"/>
      <c r="D218" s="11" t="s">
        <v>5</v>
      </c>
      <c r="E218" s="17"/>
      <c r="F218" s="17"/>
      <c r="G218" s="18">
        <f>G150</f>
        <v>950</v>
      </c>
      <c r="H218" s="39">
        <f>H217/G218</f>
        <v>703.38947368421054</v>
      </c>
      <c r="I218" s="145">
        <f>H217-I217</f>
        <v>317655.69230769231</v>
      </c>
      <c r="J218" s="147" t="s">
        <v>140</v>
      </c>
      <c r="K218" s="144">
        <f>I218/G218</f>
        <v>334.37441295546557</v>
      </c>
    </row>
    <row r="219" spans="1:11" ht="18.75" x14ac:dyDescent="0.3">
      <c r="A219" s="38"/>
      <c r="B219" s="32"/>
      <c r="C219" s="1"/>
      <c r="D219" s="11" t="s">
        <v>20</v>
      </c>
      <c r="E219" s="17"/>
      <c r="F219" s="17"/>
      <c r="G219" s="41"/>
      <c r="H219" s="42">
        <v>0.75</v>
      </c>
      <c r="I219" s="143"/>
      <c r="J219" s="143"/>
      <c r="K219" s="144">
        <f>SUM(K217:K218)</f>
        <v>703.38947368421054</v>
      </c>
    </row>
    <row r="220" spans="1:11" ht="18.75" x14ac:dyDescent="0.3">
      <c r="A220" s="38"/>
      <c r="B220" s="32"/>
      <c r="C220" s="21" t="s">
        <v>21</v>
      </c>
      <c r="D220" s="21" t="s">
        <v>101</v>
      </c>
      <c r="E220" s="22"/>
      <c r="F220" s="22"/>
      <c r="G220" s="21"/>
      <c r="H220" s="141">
        <v>48</v>
      </c>
      <c r="I220" s="44"/>
      <c r="J220" s="1"/>
    </row>
    <row r="221" spans="1:11" ht="18.75" x14ac:dyDescent="0.3">
      <c r="A221" s="38"/>
      <c r="B221" s="32"/>
      <c r="C221" s="45"/>
      <c r="D221" s="21" t="s">
        <v>102</v>
      </c>
      <c r="E221" s="22"/>
      <c r="F221" s="22"/>
      <c r="G221" s="21"/>
      <c r="H221" s="141">
        <v>87</v>
      </c>
      <c r="I221" s="1"/>
      <c r="J221" s="44">
        <f>K217*0.13+K218*0.26</f>
        <v>134.9093052631579</v>
      </c>
    </row>
    <row r="222" spans="1:11" ht="18.75" x14ac:dyDescent="0.3">
      <c r="A222" s="38"/>
      <c r="B222" s="32"/>
      <c r="C222" s="45"/>
      <c r="D222" s="21" t="s">
        <v>23</v>
      </c>
      <c r="E222" s="22"/>
      <c r="F222" s="22"/>
      <c r="G222" s="21"/>
      <c r="H222" s="23">
        <f>SUM(H220:H221)</f>
        <v>135</v>
      </c>
      <c r="I222" s="1"/>
      <c r="J222" s="1"/>
    </row>
    <row r="223" spans="1:11" ht="18.75" x14ac:dyDescent="0.3">
      <c r="A223" s="38"/>
      <c r="B223" s="32"/>
      <c r="C223" s="1"/>
      <c r="D223" s="21" t="s">
        <v>24</v>
      </c>
      <c r="E223" s="22"/>
      <c r="F223" s="22"/>
      <c r="G223" s="21"/>
      <c r="H223" s="46">
        <f>(H222+H225)/H218</f>
        <v>0.19192780820687796</v>
      </c>
      <c r="I223" s="1"/>
      <c r="J223" s="1"/>
    </row>
    <row r="224" spans="1:11" ht="18.75" x14ac:dyDescent="0.3">
      <c r="A224" s="38"/>
      <c r="B224" s="32"/>
      <c r="C224" s="45"/>
      <c r="D224" s="21" t="s">
        <v>17</v>
      </c>
      <c r="E224" s="22"/>
      <c r="F224" s="22"/>
      <c r="G224" s="21"/>
      <c r="H224" s="47">
        <f>H222/H218</f>
        <v>0.19192780820687796</v>
      </c>
      <c r="I224" s="1"/>
      <c r="J224" s="1"/>
    </row>
    <row r="225" spans="1:9" ht="18.75" x14ac:dyDescent="0.3">
      <c r="A225" s="38"/>
      <c r="B225" s="32"/>
      <c r="C225" s="36"/>
      <c r="D225" s="21" t="s">
        <v>98</v>
      </c>
      <c r="E225" s="22"/>
      <c r="F225" s="22"/>
      <c r="G225" s="21"/>
      <c r="H225" s="23">
        <v>0</v>
      </c>
      <c r="I225" s="110">
        <f>J221-H222</f>
        <v>-9.0694736842095836E-2</v>
      </c>
    </row>
    <row r="226" spans="1:9" ht="18.75" x14ac:dyDescent="0.3">
      <c r="A226" s="38"/>
      <c r="B226" s="32"/>
      <c r="C226" s="36"/>
      <c r="D226" s="21" t="s">
        <v>27</v>
      </c>
      <c r="E226" s="22"/>
      <c r="F226" s="22"/>
      <c r="G226" s="21"/>
      <c r="H226" s="48">
        <v>300000</v>
      </c>
      <c r="I226" s="1"/>
    </row>
    <row r="227" spans="1:9" ht="19.5" thickBot="1" x14ac:dyDescent="0.35">
      <c r="A227" s="38"/>
      <c r="B227" s="32"/>
      <c r="C227" s="49"/>
      <c r="D227" s="45"/>
      <c r="E227" s="45"/>
      <c r="F227" s="49"/>
      <c r="G227" s="45"/>
      <c r="H227" s="50"/>
      <c r="I227" s="1"/>
    </row>
    <row r="228" spans="1:9" ht="19.5" thickBot="1" x14ac:dyDescent="0.35">
      <c r="A228" s="38"/>
      <c r="B228" s="32"/>
      <c r="C228" s="51" t="s">
        <v>28</v>
      </c>
      <c r="D228" s="51" t="s">
        <v>29</v>
      </c>
      <c r="E228" s="52"/>
      <c r="F228" s="53">
        <v>6.0999999999999999E-2</v>
      </c>
      <c r="G228" s="54" t="s">
        <v>30</v>
      </c>
      <c r="H228" s="55">
        <f>+F279</f>
        <v>6.1653941358188982E-2</v>
      </c>
      <c r="I228" s="1"/>
    </row>
    <row r="229" spans="1:9" ht="18.75" x14ac:dyDescent="0.3">
      <c r="A229" s="38"/>
      <c r="B229" s="32"/>
      <c r="C229" s="36"/>
      <c r="D229" s="51" t="s">
        <v>31</v>
      </c>
      <c r="E229" s="52"/>
      <c r="F229" s="56">
        <f>F161</f>
        <v>3.65</v>
      </c>
      <c r="G229" s="51" t="s">
        <v>32</v>
      </c>
      <c r="H229" s="57"/>
      <c r="I229" s="1"/>
    </row>
    <row r="230" spans="1:9" ht="19.5" thickBot="1" x14ac:dyDescent="0.35">
      <c r="A230" s="38"/>
      <c r="B230" s="32"/>
      <c r="C230" s="32"/>
      <c r="D230" s="36"/>
      <c r="E230" s="45"/>
      <c r="F230" s="49"/>
      <c r="G230" s="45"/>
      <c r="H230" s="58"/>
      <c r="I230" s="1"/>
    </row>
    <row r="231" spans="1:9" ht="18.75" x14ac:dyDescent="0.3">
      <c r="A231" s="59" t="s">
        <v>33</v>
      </c>
      <c r="B231" s="60"/>
      <c r="C231" s="60"/>
      <c r="D231" s="60"/>
      <c r="E231" s="60"/>
      <c r="F231" s="60"/>
      <c r="G231" s="60"/>
      <c r="H231" s="61"/>
      <c r="I231" s="1"/>
    </row>
    <row r="232" spans="1:9" ht="30" x14ac:dyDescent="0.25">
      <c r="A232" s="62" t="s">
        <v>34</v>
      </c>
      <c r="B232" s="63"/>
      <c r="C232" s="63"/>
      <c r="D232" s="64" t="s">
        <v>35</v>
      </c>
      <c r="E232" s="64" t="s">
        <v>36</v>
      </c>
      <c r="F232" s="64" t="s">
        <v>37</v>
      </c>
      <c r="G232" s="64" t="s">
        <v>38</v>
      </c>
      <c r="H232" s="65" t="s">
        <v>39</v>
      </c>
      <c r="I232" s="1"/>
    </row>
    <row r="233" spans="1:9" x14ac:dyDescent="0.25">
      <c r="A233" s="38"/>
      <c r="B233" s="49" t="s">
        <v>40</v>
      </c>
      <c r="C233" s="49" t="s">
        <v>41</v>
      </c>
      <c r="D233" s="66">
        <f>ROUND(H218-D234-D235,0)</f>
        <v>568</v>
      </c>
      <c r="E233" s="67">
        <v>810</v>
      </c>
      <c r="F233" s="68">
        <f>+G233*E233</f>
        <v>2956.5</v>
      </c>
      <c r="G233" s="69">
        <f>F229</f>
        <v>3.65</v>
      </c>
      <c r="H233" s="70">
        <f>+D233*F233*12</f>
        <v>20151504</v>
      </c>
      <c r="I233" s="1"/>
    </row>
    <row r="234" spans="1:9" x14ac:dyDescent="0.25">
      <c r="A234" s="38"/>
      <c r="B234" s="71" t="s">
        <v>42</v>
      </c>
      <c r="C234" s="49" t="s">
        <v>43</v>
      </c>
      <c r="D234" s="66">
        <f>H220</f>
        <v>48</v>
      </c>
      <c r="E234" s="67">
        <v>810</v>
      </c>
      <c r="F234" s="68">
        <v>1098.26</v>
      </c>
      <c r="G234" s="72">
        <f>IF(H234=0,0,+H234/(E234*D234)/12)</f>
        <v>1.3558765432098765</v>
      </c>
      <c r="H234" s="70">
        <f>+F234*D234*12</f>
        <v>632597.76000000001</v>
      </c>
      <c r="I234" s="1"/>
    </row>
    <row r="235" spans="1:9" x14ac:dyDescent="0.25">
      <c r="A235" s="38"/>
      <c r="B235" s="71" t="s">
        <v>44</v>
      </c>
      <c r="C235" s="49" t="s">
        <v>45</v>
      </c>
      <c r="D235" s="66">
        <f>H221</f>
        <v>87</v>
      </c>
      <c r="E235" s="67">
        <v>810</v>
      </c>
      <c r="F235" s="68">
        <v>784.93925925925919</v>
      </c>
      <c r="G235" s="73">
        <f>IF(H235=0,0,+H235/(E235*D235)/12)</f>
        <v>0.96906081390032017</v>
      </c>
      <c r="H235" s="70">
        <f>+F235*D235*12</f>
        <v>819476.58666666667</v>
      </c>
      <c r="I235" s="1"/>
    </row>
    <row r="236" spans="1:9" x14ac:dyDescent="0.25">
      <c r="A236" s="38"/>
      <c r="B236" s="49" t="s">
        <v>46</v>
      </c>
      <c r="C236" s="49" t="s">
        <v>47</v>
      </c>
      <c r="D236" s="67">
        <v>0</v>
      </c>
      <c r="E236" s="67">
        <v>0</v>
      </c>
      <c r="F236" s="73">
        <v>0</v>
      </c>
      <c r="G236" s="73">
        <v>0</v>
      </c>
      <c r="H236" s="70">
        <f>+G236*E236*D236</f>
        <v>0</v>
      </c>
      <c r="I236" s="1"/>
    </row>
    <row r="237" spans="1:9" x14ac:dyDescent="0.25">
      <c r="A237" s="38"/>
      <c r="B237" s="49"/>
      <c r="C237" s="49" t="s">
        <v>48</v>
      </c>
      <c r="D237" s="67">
        <v>0</v>
      </c>
      <c r="E237" s="67">
        <v>5000</v>
      </c>
      <c r="F237" s="73">
        <f>+G237/12</f>
        <v>0</v>
      </c>
      <c r="G237" s="73">
        <v>0</v>
      </c>
      <c r="H237" s="70">
        <f>+G237*E237*D237</f>
        <v>0</v>
      </c>
      <c r="I237" s="1"/>
    </row>
    <row r="238" spans="1:9" x14ac:dyDescent="0.25">
      <c r="A238" s="38"/>
      <c r="B238" s="74" t="s">
        <v>49</v>
      </c>
      <c r="C238" s="74"/>
      <c r="D238" s="75">
        <f>+H218*H219</f>
        <v>527.54210526315796</v>
      </c>
      <c r="E238" s="76"/>
      <c r="F238" s="76"/>
      <c r="G238" s="76">
        <v>250</v>
      </c>
      <c r="H238" s="77">
        <f>+D238*G238*12</f>
        <v>1582626.3157894739</v>
      </c>
      <c r="I238" s="1"/>
    </row>
    <row r="239" spans="1:9" x14ac:dyDescent="0.25">
      <c r="A239" s="38"/>
      <c r="B239" s="49" t="s">
        <v>50</v>
      </c>
      <c r="C239" s="49"/>
      <c r="D239" s="66">
        <f>+H218</f>
        <v>703.38947368421054</v>
      </c>
      <c r="E239" s="67">
        <f>(E233*D233)+(E234*D234)</f>
        <v>498960</v>
      </c>
      <c r="F239" s="73"/>
      <c r="G239" s="68"/>
      <c r="H239" s="70">
        <f>SUM(H233:H238)</f>
        <v>23186204.66245614</v>
      </c>
      <c r="I239" s="1"/>
    </row>
    <row r="240" spans="1:9" x14ac:dyDescent="0.25">
      <c r="A240" s="38"/>
      <c r="B240" s="49" t="s">
        <v>51</v>
      </c>
      <c r="C240" s="49"/>
      <c r="D240" s="78">
        <v>0.85</v>
      </c>
      <c r="E240" s="67">
        <f>+H217</f>
        <v>668220</v>
      </c>
      <c r="F240" s="68"/>
      <c r="G240" s="68"/>
      <c r="H240" s="70"/>
      <c r="I240" s="1"/>
    </row>
    <row r="241" spans="1:8" x14ac:dyDescent="0.25">
      <c r="A241" s="38"/>
      <c r="B241" s="49" t="s">
        <v>52</v>
      </c>
      <c r="C241" s="49"/>
      <c r="D241" s="78">
        <v>1</v>
      </c>
      <c r="E241" s="67">
        <f>(E236*D236)+(D237*E237)</f>
        <v>0</v>
      </c>
      <c r="F241" s="68"/>
      <c r="G241" s="68"/>
      <c r="H241" s="70"/>
    </row>
    <row r="242" spans="1:8" x14ac:dyDescent="0.25">
      <c r="A242" s="38"/>
      <c r="B242" s="49"/>
      <c r="C242" s="49"/>
      <c r="D242" s="67"/>
      <c r="E242" s="68"/>
      <c r="F242" s="68"/>
      <c r="G242" s="68"/>
      <c r="H242" s="70"/>
    </row>
    <row r="243" spans="1:8" ht="18.75" x14ac:dyDescent="0.3">
      <c r="A243" s="79" t="s">
        <v>53</v>
      </c>
      <c r="B243" s="49"/>
      <c r="C243" s="49" t="str">
        <f>+C233</f>
        <v>Market Rate</v>
      </c>
      <c r="D243" s="67"/>
      <c r="E243" s="68"/>
      <c r="F243" s="68"/>
      <c r="G243" s="80">
        <v>0.05</v>
      </c>
      <c r="H243" s="70">
        <f>-G243*H233</f>
        <v>-1007575.2000000001</v>
      </c>
    </row>
    <row r="244" spans="1:8" ht="12.75" customHeight="1" x14ac:dyDescent="0.3">
      <c r="A244" s="79"/>
      <c r="B244" s="49"/>
      <c r="C244" s="49" t="str">
        <f>+C234</f>
        <v>Low Income</v>
      </c>
      <c r="D244" s="67"/>
      <c r="E244" s="68"/>
      <c r="F244" s="68"/>
      <c r="G244" s="80">
        <v>0</v>
      </c>
      <c r="H244" s="70">
        <f>-G244*H234</f>
        <v>0</v>
      </c>
    </row>
    <row r="245" spans="1:8" ht="12.75" customHeight="1" x14ac:dyDescent="0.3">
      <c r="A245" s="79"/>
      <c r="B245" s="49"/>
      <c r="C245" s="49" t="str">
        <f>+C236</f>
        <v>Market Rate Retail</v>
      </c>
      <c r="D245" s="67"/>
      <c r="E245" s="68"/>
      <c r="F245" s="68"/>
      <c r="G245" s="80">
        <v>0.1</v>
      </c>
      <c r="H245" s="70">
        <f>-G245*H236</f>
        <v>0</v>
      </c>
    </row>
    <row r="246" spans="1:8" x14ac:dyDescent="0.25">
      <c r="A246" s="38"/>
      <c r="B246" s="74"/>
      <c r="C246" s="74" t="str">
        <f>+C237</f>
        <v>Affordable Innovation</v>
      </c>
      <c r="D246" s="75"/>
      <c r="E246" s="76"/>
      <c r="F246" s="76"/>
      <c r="G246" s="81">
        <v>0.2</v>
      </c>
      <c r="H246" s="77">
        <f>-G246*H237</f>
        <v>0</v>
      </c>
    </row>
    <row r="247" spans="1:8" x14ac:dyDescent="0.25">
      <c r="A247" s="38"/>
      <c r="B247" s="49" t="s">
        <v>54</v>
      </c>
      <c r="C247" s="49"/>
      <c r="D247" s="67"/>
      <c r="E247" s="68"/>
      <c r="F247" s="68"/>
      <c r="G247" s="80"/>
      <c r="H247" s="70">
        <f>SUM(H243:H246)</f>
        <v>-1007575.2000000001</v>
      </c>
    </row>
    <row r="248" spans="1:8" s="83" customFormat="1" ht="18.75" x14ac:dyDescent="0.3">
      <c r="A248" s="82"/>
      <c r="C248" s="45"/>
      <c r="D248" s="49"/>
      <c r="E248" s="49"/>
      <c r="F248" s="84"/>
      <c r="G248" s="85"/>
      <c r="H248" s="70"/>
    </row>
    <row r="249" spans="1:8" ht="18.75" x14ac:dyDescent="0.3">
      <c r="A249" s="79" t="s">
        <v>55</v>
      </c>
      <c r="B249" s="49"/>
      <c r="C249" s="49"/>
      <c r="D249" s="67"/>
      <c r="E249" s="68"/>
      <c r="F249" s="68"/>
      <c r="G249" s="68"/>
      <c r="H249" s="70">
        <f>+H239+H247</f>
        <v>22178629.462456141</v>
      </c>
    </row>
    <row r="250" spans="1:8" x14ac:dyDescent="0.25">
      <c r="A250" s="38"/>
      <c r="B250" s="49"/>
      <c r="C250" s="49"/>
      <c r="D250" s="67"/>
      <c r="E250" s="68"/>
      <c r="F250" s="68"/>
      <c r="G250" s="68"/>
      <c r="H250" s="70"/>
    </row>
    <row r="251" spans="1:8" ht="18.75" x14ac:dyDescent="0.3">
      <c r="A251" s="79" t="s">
        <v>56</v>
      </c>
      <c r="B251" s="49"/>
      <c r="C251" s="49"/>
      <c r="D251" s="49"/>
      <c r="E251" s="49"/>
      <c r="F251" s="49"/>
      <c r="G251" s="49"/>
      <c r="H251" s="70"/>
    </row>
    <row r="252" spans="1:8" x14ac:dyDescent="0.25">
      <c r="A252" s="38"/>
      <c r="B252" s="49" t="s">
        <v>57</v>
      </c>
      <c r="C252" s="49" t="s">
        <v>58</v>
      </c>
      <c r="D252" s="49"/>
      <c r="E252" s="49"/>
      <c r="F252" s="68">
        <v>7500</v>
      </c>
      <c r="G252" s="68" t="s">
        <v>59</v>
      </c>
      <c r="H252" s="70">
        <f>-F252*D239</f>
        <v>-5275421.0526315793</v>
      </c>
    </row>
    <row r="253" spans="1:8" x14ac:dyDescent="0.25">
      <c r="A253" s="38"/>
      <c r="B253" s="49"/>
      <c r="C253" s="49" t="s">
        <v>60</v>
      </c>
      <c r="D253" s="78">
        <v>7.0000000000000007E-2</v>
      </c>
      <c r="E253" s="49" t="s">
        <v>61</v>
      </c>
      <c r="F253" s="68">
        <f>ROUND(-H253/D239,-2)</f>
        <v>2200</v>
      </c>
      <c r="G253" s="68" t="s">
        <v>59</v>
      </c>
      <c r="H253" s="70">
        <f>(H233+H234+H238)*-D253</f>
        <v>-1565670.9653052634</v>
      </c>
    </row>
    <row r="254" spans="1:8" x14ac:dyDescent="0.25">
      <c r="A254" s="38"/>
      <c r="B254" s="49"/>
      <c r="C254" s="49" t="s">
        <v>62</v>
      </c>
      <c r="D254" s="80">
        <v>2.5000000000000001E-2</v>
      </c>
      <c r="E254" s="49" t="s">
        <v>63</v>
      </c>
      <c r="F254" s="68">
        <f>-H254/D239</f>
        <v>755.214303986711</v>
      </c>
      <c r="G254" s="68" t="s">
        <v>59</v>
      </c>
      <c r="H254" s="70">
        <f>-D254*((H233+H234+H238)*(1-G243))</f>
        <v>-531209.79180000001</v>
      </c>
    </row>
    <row r="255" spans="1:8" x14ac:dyDescent="0.25">
      <c r="A255" s="38"/>
      <c r="B255" s="49"/>
      <c r="C255" s="49" t="s">
        <v>64</v>
      </c>
      <c r="D255" s="49"/>
      <c r="E255" s="49"/>
      <c r="F255" s="68">
        <v>250</v>
      </c>
      <c r="G255" s="68" t="s">
        <v>59</v>
      </c>
      <c r="H255" s="70">
        <f>-F255*D239</f>
        <v>-175847.36842105264</v>
      </c>
    </row>
    <row r="256" spans="1:8" x14ac:dyDescent="0.25">
      <c r="A256" s="38"/>
      <c r="B256" s="74" t="s">
        <v>46</v>
      </c>
      <c r="C256" s="86" t="s">
        <v>65</v>
      </c>
      <c r="D256" s="74"/>
      <c r="E256" s="74"/>
      <c r="F256" s="87">
        <v>0.02</v>
      </c>
      <c r="G256" s="74" t="s">
        <v>66</v>
      </c>
      <c r="H256" s="77">
        <f>-F256*(H236+H237)</f>
        <v>0</v>
      </c>
    </row>
    <row r="257" spans="1:11" x14ac:dyDescent="0.25">
      <c r="A257" s="38"/>
      <c r="B257" s="49" t="s">
        <v>67</v>
      </c>
      <c r="C257" s="49"/>
      <c r="D257" s="78">
        <f>-H257/H249</f>
        <v>0.34033433810395541</v>
      </c>
      <c r="E257" s="68" t="s">
        <v>68</v>
      </c>
      <c r="F257" s="68">
        <f>-H257/D239</f>
        <v>10731.109094684385</v>
      </c>
      <c r="G257" s="68" t="s">
        <v>59</v>
      </c>
      <c r="H257" s="70">
        <f>SUM(H252:H256)</f>
        <v>-7548149.1781578949</v>
      </c>
      <c r="I257" s="1"/>
      <c r="J257" s="1"/>
      <c r="K257" s="1"/>
    </row>
    <row r="258" spans="1:11" ht="15.75" thickBot="1" x14ac:dyDescent="0.3">
      <c r="A258" s="38"/>
      <c r="B258" s="49"/>
      <c r="C258" s="49"/>
      <c r="D258" s="49"/>
      <c r="E258" s="32"/>
      <c r="F258" s="49"/>
      <c r="G258" s="49"/>
      <c r="H258" s="70"/>
      <c r="I258" s="1"/>
      <c r="J258" s="1"/>
      <c r="K258" s="1"/>
    </row>
    <row r="259" spans="1:11" ht="18.75" x14ac:dyDescent="0.3">
      <c r="A259" s="79" t="s">
        <v>69</v>
      </c>
      <c r="B259" s="49"/>
      <c r="C259" s="49"/>
      <c r="D259" s="78">
        <f>+H259/H249</f>
        <v>0.65966566189604459</v>
      </c>
      <c r="E259" s="68" t="s">
        <v>68</v>
      </c>
      <c r="F259" s="68">
        <f>+H259/D239</f>
        <v>20799.970473920763</v>
      </c>
      <c r="G259" s="68" t="s">
        <v>59</v>
      </c>
      <c r="H259" s="70">
        <f>+H249+H257</f>
        <v>14630480.284298245</v>
      </c>
      <c r="I259" s="1"/>
      <c r="J259" s="88">
        <f>+H259/1.25</f>
        <v>11704384.227438595</v>
      </c>
      <c r="K259" s="89" t="s">
        <v>70</v>
      </c>
    </row>
    <row r="260" spans="1:11" x14ac:dyDescent="0.25">
      <c r="A260" s="38"/>
      <c r="B260" s="49"/>
      <c r="C260" s="49"/>
      <c r="D260" s="49"/>
      <c r="E260" s="49"/>
      <c r="F260" s="49"/>
      <c r="G260" s="49"/>
      <c r="H260" s="70"/>
      <c r="I260" s="1"/>
      <c r="J260" s="90">
        <f>-J259/(PMT(0.04/12,30*12,1)*12)</f>
        <v>204301236.58598125</v>
      </c>
      <c r="K260" s="91" t="s">
        <v>71</v>
      </c>
    </row>
    <row r="261" spans="1:11" ht="18.75" x14ac:dyDescent="0.3">
      <c r="A261" s="79" t="s">
        <v>72</v>
      </c>
      <c r="B261" s="49"/>
      <c r="C261" s="49"/>
      <c r="D261" s="49"/>
      <c r="E261" s="49"/>
      <c r="F261" s="49"/>
      <c r="G261" s="49"/>
      <c r="H261" s="70"/>
      <c r="I261" s="1"/>
      <c r="J261" s="92">
        <f>+H275-J260</f>
        <v>32998763.41401875</v>
      </c>
      <c r="K261" s="91" t="s">
        <v>73</v>
      </c>
    </row>
    <row r="262" spans="1:11" x14ac:dyDescent="0.25">
      <c r="A262" s="38"/>
      <c r="B262" s="49" t="s">
        <v>74</v>
      </c>
      <c r="C262" s="49"/>
      <c r="D262" s="49"/>
      <c r="E262" s="93" t="s">
        <v>75</v>
      </c>
      <c r="F262" s="94">
        <v>0.05</v>
      </c>
      <c r="G262" s="49" t="s">
        <v>76</v>
      </c>
      <c r="H262" s="70">
        <f>+H259/F262</f>
        <v>292609605.68596488</v>
      </c>
      <c r="I262" s="1"/>
      <c r="J262" s="92">
        <f>+H259-J259</f>
        <v>2926096.0568596497</v>
      </c>
      <c r="K262" s="91" t="s">
        <v>77</v>
      </c>
    </row>
    <row r="263" spans="1:11" ht="15.75" thickBot="1" x14ac:dyDescent="0.3">
      <c r="A263" s="38"/>
      <c r="B263" s="49"/>
      <c r="C263" s="49"/>
      <c r="D263" s="49"/>
      <c r="E263" s="49"/>
      <c r="F263" s="49"/>
      <c r="G263" s="93" t="s">
        <v>78</v>
      </c>
      <c r="H263" s="70">
        <f>ROUND(H262,-5)</f>
        <v>292600000</v>
      </c>
      <c r="I263" s="1"/>
      <c r="J263" s="95">
        <f>+J262/J261</f>
        <v>8.8672900258334117E-2</v>
      </c>
      <c r="K263" s="96" t="s">
        <v>79</v>
      </c>
    </row>
    <row r="264" spans="1:11" x14ac:dyDescent="0.25">
      <c r="A264" s="38"/>
      <c r="B264" s="49"/>
      <c r="C264" s="49"/>
      <c r="D264" s="49"/>
      <c r="E264" s="49"/>
      <c r="F264" s="49"/>
      <c r="G264" s="93" t="s">
        <v>80</v>
      </c>
      <c r="H264" s="70">
        <f>+H263/E240</f>
        <v>437.87974020532158</v>
      </c>
      <c r="I264" s="1"/>
      <c r="J264" s="1"/>
      <c r="K264" s="1"/>
    </row>
    <row r="265" spans="1:11" x14ac:dyDescent="0.25">
      <c r="A265" s="38"/>
      <c r="B265" s="49"/>
      <c r="C265" s="49"/>
      <c r="D265" s="49"/>
      <c r="E265" s="49"/>
      <c r="F265" s="49"/>
      <c r="G265" s="93" t="s">
        <v>59</v>
      </c>
      <c r="H265" s="70">
        <f>+H263/D239</f>
        <v>415985.75319505553</v>
      </c>
      <c r="I265" s="1"/>
      <c r="J265" s="1"/>
      <c r="K265" s="2"/>
    </row>
    <row r="266" spans="1:11" x14ac:dyDescent="0.25">
      <c r="A266" s="97"/>
      <c r="B266" s="74"/>
      <c r="C266" s="74"/>
      <c r="D266" s="74"/>
      <c r="E266" s="74"/>
      <c r="F266" s="74"/>
      <c r="G266" s="98"/>
      <c r="H266" s="77"/>
      <c r="I266" s="1"/>
      <c r="J266" s="1"/>
      <c r="K266" s="1"/>
    </row>
    <row r="267" spans="1:11" x14ac:dyDescent="0.25">
      <c r="A267" s="38"/>
      <c r="B267" s="49"/>
      <c r="C267" s="49"/>
      <c r="D267" s="49"/>
      <c r="E267" s="49"/>
      <c r="F267" s="94"/>
      <c r="G267" s="49"/>
      <c r="H267" s="70"/>
      <c r="I267" s="1"/>
      <c r="J267" s="1"/>
      <c r="K267" s="1"/>
    </row>
    <row r="268" spans="1:11" ht="19.5" thickBot="1" x14ac:dyDescent="0.35">
      <c r="A268" s="79" t="s">
        <v>81</v>
      </c>
      <c r="B268" s="49"/>
      <c r="C268" s="49"/>
      <c r="D268" s="49"/>
      <c r="E268" s="49"/>
      <c r="F268" s="49"/>
      <c r="G268" s="49"/>
      <c r="H268" s="70"/>
      <c r="I268" s="1"/>
      <c r="J268" s="1"/>
      <c r="K268" s="1"/>
    </row>
    <row r="269" spans="1:11" ht="19.5" thickBot="1" x14ac:dyDescent="0.35">
      <c r="A269" s="79"/>
      <c r="B269" s="49" t="s">
        <v>82</v>
      </c>
      <c r="C269" s="49"/>
      <c r="D269" s="68">
        <f>+H269/D239</f>
        <v>17443.750906541605</v>
      </c>
      <c r="E269" s="49" t="s">
        <v>59</v>
      </c>
      <c r="F269" s="73">
        <v>70</v>
      </c>
      <c r="G269" s="49" t="s">
        <v>83</v>
      </c>
      <c r="H269" s="99">
        <f>F269*H215</f>
        <v>12269750.76923077</v>
      </c>
      <c r="I269" s="1"/>
      <c r="J269" s="1"/>
      <c r="K269" s="1"/>
    </row>
    <row r="270" spans="1:11" ht="12.75" customHeight="1" x14ac:dyDescent="0.3">
      <c r="A270" s="79"/>
      <c r="B270" s="49" t="s">
        <v>84</v>
      </c>
      <c r="C270" s="49"/>
      <c r="D270" s="68">
        <v>300000</v>
      </c>
      <c r="E270" s="49" t="s">
        <v>59</v>
      </c>
      <c r="F270" s="67">
        <f>H225</f>
        <v>0</v>
      </c>
      <c r="G270" s="49" t="s">
        <v>35</v>
      </c>
      <c r="H270" s="70">
        <f>+F270*D270</f>
        <v>0</v>
      </c>
      <c r="I270" s="1"/>
      <c r="J270" s="1"/>
      <c r="K270" s="1"/>
    </row>
    <row r="271" spans="1:11" x14ac:dyDescent="0.25">
      <c r="A271" s="38"/>
      <c r="B271" s="49" t="s">
        <v>57</v>
      </c>
      <c r="C271" s="49"/>
      <c r="D271" s="49"/>
      <c r="E271" s="49"/>
      <c r="F271" s="73">
        <f>280*0.92</f>
        <v>257.60000000000002</v>
      </c>
      <c r="G271" s="49" t="s">
        <v>85</v>
      </c>
      <c r="H271" s="70">
        <f>+F271*E240</f>
        <v>172133472.00000003</v>
      </c>
      <c r="I271" s="1"/>
      <c r="J271" s="1"/>
      <c r="K271" s="1"/>
    </row>
    <row r="272" spans="1:11" x14ac:dyDescent="0.25">
      <c r="A272" s="38"/>
      <c r="B272" s="49" t="s">
        <v>46</v>
      </c>
      <c r="C272" s="49"/>
      <c r="D272" s="49"/>
      <c r="E272" s="49"/>
      <c r="F272" s="73">
        <v>280</v>
      </c>
      <c r="G272" s="49" t="s">
        <v>85</v>
      </c>
      <c r="H272" s="70">
        <f>F272*(E241)</f>
        <v>0</v>
      </c>
      <c r="I272" s="1"/>
      <c r="J272" s="1"/>
      <c r="K272" s="1"/>
    </row>
    <row r="273" spans="1:11" x14ac:dyDescent="0.25">
      <c r="A273" s="38"/>
      <c r="B273" s="49" t="s">
        <v>86</v>
      </c>
      <c r="C273" s="49" t="s">
        <v>87</v>
      </c>
      <c r="D273" s="67">
        <f>+D238</f>
        <v>527.54210526315796</v>
      </c>
      <c r="E273" s="32" t="s">
        <v>88</v>
      </c>
      <c r="F273" s="68">
        <v>35000</v>
      </c>
      <c r="G273" s="49" t="s">
        <v>89</v>
      </c>
      <c r="H273" s="70">
        <f>+F273*D238</f>
        <v>18463973.684210528</v>
      </c>
      <c r="I273" s="1"/>
      <c r="J273" s="1"/>
    </row>
    <row r="274" spans="1:11" x14ac:dyDescent="0.25">
      <c r="A274" s="38"/>
      <c r="B274" s="74" t="s">
        <v>90</v>
      </c>
      <c r="C274" s="74"/>
      <c r="D274" s="74"/>
      <c r="E274" s="74"/>
      <c r="F274" s="87">
        <v>0.2</v>
      </c>
      <c r="G274" s="74" t="s">
        <v>91</v>
      </c>
      <c r="H274" s="77">
        <f>ROUND((H271+H272)*F274,-5)</f>
        <v>34400000</v>
      </c>
      <c r="I274" s="1"/>
      <c r="J274" s="1"/>
    </row>
    <row r="275" spans="1:11" x14ac:dyDescent="0.25">
      <c r="A275" s="38"/>
      <c r="B275" s="49"/>
      <c r="C275" s="49"/>
      <c r="D275" s="49"/>
      <c r="E275" s="49"/>
      <c r="F275" s="49"/>
      <c r="G275" s="93" t="s">
        <v>78</v>
      </c>
      <c r="H275" s="70">
        <f>ROUND(SUM(H269:H274),-5)</f>
        <v>237300000</v>
      </c>
      <c r="I275" s="1"/>
      <c r="J275" s="1"/>
    </row>
    <row r="276" spans="1:11" x14ac:dyDescent="0.25">
      <c r="A276" s="38"/>
      <c r="B276" s="49"/>
      <c r="C276" s="49"/>
      <c r="D276" s="49"/>
      <c r="E276" s="49"/>
      <c r="F276" s="49"/>
      <c r="G276" s="93" t="s">
        <v>80</v>
      </c>
      <c r="H276" s="70">
        <f>+H275/(E240+E241)</f>
        <v>355.12256442489002</v>
      </c>
      <c r="I276" s="1"/>
      <c r="J276" s="1"/>
    </row>
    <row r="277" spans="1:11" x14ac:dyDescent="0.25">
      <c r="A277" s="38"/>
      <c r="B277" s="49"/>
      <c r="C277" s="49"/>
      <c r="D277" s="49"/>
      <c r="E277" s="49"/>
      <c r="F277" s="49"/>
      <c r="G277" s="93" t="s">
        <v>59</v>
      </c>
      <c r="H277" s="70">
        <f>+H275/H218</f>
        <v>337366.43620364548</v>
      </c>
      <c r="I277" s="1"/>
      <c r="J277" s="1">
        <v>486340.6795224977</v>
      </c>
    </row>
    <row r="278" spans="1:11" x14ac:dyDescent="0.25">
      <c r="A278" s="38"/>
      <c r="B278" s="49"/>
      <c r="C278" s="49"/>
      <c r="D278" s="49"/>
      <c r="E278" s="49"/>
      <c r="F278" s="49"/>
      <c r="G278" s="49"/>
      <c r="H278" s="70"/>
      <c r="I278" s="1"/>
      <c r="J278" s="1"/>
    </row>
    <row r="279" spans="1:11" ht="18.75" x14ac:dyDescent="0.3">
      <c r="A279" s="100" t="s">
        <v>92</v>
      </c>
      <c r="B279" s="49"/>
      <c r="C279" s="49"/>
      <c r="D279" s="49"/>
      <c r="E279" s="93" t="s">
        <v>93</v>
      </c>
      <c r="F279" s="80">
        <f>+H259/H275</f>
        <v>6.1653941358188982E-2</v>
      </c>
      <c r="G279" s="93" t="s">
        <v>94</v>
      </c>
      <c r="H279" s="70">
        <f>+H263-H275</f>
        <v>55300000</v>
      </c>
      <c r="I279" s="1"/>
      <c r="J279" s="1"/>
    </row>
    <row r="280" spans="1:11" ht="15.75" thickBot="1" x14ac:dyDescent="0.3">
      <c r="A280" s="101"/>
      <c r="B280" s="102"/>
      <c r="C280" s="102"/>
      <c r="D280" s="103"/>
      <c r="E280" s="103"/>
      <c r="F280" s="103"/>
      <c r="G280" s="102"/>
      <c r="H280" s="104"/>
      <c r="I280" s="1"/>
      <c r="J280" s="1"/>
    </row>
    <row r="281" spans="1:11" ht="15.75" thickBo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</row>
    <row r="282" spans="1:11" ht="18.75" x14ac:dyDescent="0.3">
      <c r="A282" s="3" t="s">
        <v>7</v>
      </c>
      <c r="B282" s="4"/>
      <c r="C282" s="5" t="s">
        <v>8</v>
      </c>
      <c r="D282" s="6" t="s">
        <v>9</v>
      </c>
      <c r="E282" s="7"/>
      <c r="F282" s="7"/>
      <c r="G282" s="8" t="s">
        <v>10</v>
      </c>
      <c r="H282" s="25" t="s">
        <v>11</v>
      </c>
      <c r="I282" s="1"/>
      <c r="J282" s="1"/>
    </row>
    <row r="283" spans="1:11" ht="18.75" x14ac:dyDescent="0.3">
      <c r="A283" s="26" t="s">
        <v>12</v>
      </c>
      <c r="B283" s="27"/>
      <c r="C283" s="11"/>
      <c r="D283" s="28" t="s">
        <v>1</v>
      </c>
      <c r="E283" s="12" t="s">
        <v>13</v>
      </c>
      <c r="F283" s="29"/>
      <c r="G283" s="30" t="s">
        <v>14</v>
      </c>
      <c r="H283" s="31">
        <v>50375</v>
      </c>
      <c r="I283" s="1"/>
      <c r="J283" s="1"/>
    </row>
    <row r="284" spans="1:11" ht="18.75" x14ac:dyDescent="0.3">
      <c r="A284" s="26" t="s">
        <v>104</v>
      </c>
      <c r="B284" s="27"/>
      <c r="C284" s="32"/>
      <c r="D284" s="11" t="s">
        <v>16</v>
      </c>
      <c r="E284" s="12"/>
      <c r="F284" s="33"/>
      <c r="G284" s="14" t="s">
        <v>4</v>
      </c>
      <c r="H284" s="111">
        <f>H285/H283</f>
        <v>4.7592059553349877</v>
      </c>
      <c r="I284" s="148" t="s">
        <v>138</v>
      </c>
      <c r="J284" s="146"/>
      <c r="K284" s="144" t="s">
        <v>139</v>
      </c>
    </row>
    <row r="285" spans="1:11" ht="19.5" thickBot="1" x14ac:dyDescent="0.35">
      <c r="A285" s="34" t="s">
        <v>17</v>
      </c>
      <c r="B285" s="35"/>
      <c r="C285" s="36"/>
      <c r="D285" s="11" t="s">
        <v>18</v>
      </c>
      <c r="E285" s="17"/>
      <c r="F285" s="17"/>
      <c r="G285" s="37" t="s">
        <v>19</v>
      </c>
      <c r="H285" s="31">
        <v>239745</v>
      </c>
      <c r="I285" s="145">
        <f>H283*2</f>
        <v>100750</v>
      </c>
      <c r="J285" s="146" t="s">
        <v>137</v>
      </c>
      <c r="K285" s="144">
        <f>I285/G286</f>
        <v>106.05263157894737</v>
      </c>
    </row>
    <row r="286" spans="1:11" ht="18.75" x14ac:dyDescent="0.3">
      <c r="A286" s="38"/>
      <c r="B286" s="32"/>
      <c r="C286" s="36"/>
      <c r="D286" s="11" t="s">
        <v>5</v>
      </c>
      <c r="E286" s="17"/>
      <c r="F286" s="17"/>
      <c r="G286" s="18">
        <f>G218</f>
        <v>950</v>
      </c>
      <c r="H286" s="39">
        <f>H285/G286</f>
        <v>252.36315789473684</v>
      </c>
      <c r="I286" s="145">
        <f>H285-I285</f>
        <v>138995</v>
      </c>
      <c r="J286" s="147" t="s">
        <v>140</v>
      </c>
      <c r="K286" s="144">
        <f>I286/G286</f>
        <v>146.31052631578947</v>
      </c>
    </row>
    <row r="287" spans="1:11" ht="18.75" x14ac:dyDescent="0.3">
      <c r="A287" s="38"/>
      <c r="B287" s="32"/>
      <c r="C287" s="1"/>
      <c r="D287" s="11" t="s">
        <v>20</v>
      </c>
      <c r="E287" s="17"/>
      <c r="F287" s="17"/>
      <c r="G287" s="41"/>
      <c r="H287" s="42">
        <v>0.75</v>
      </c>
      <c r="I287" s="143"/>
      <c r="J287" s="143"/>
      <c r="K287" s="144">
        <f>SUM(K285:K286)</f>
        <v>252.36315789473684</v>
      </c>
    </row>
    <row r="288" spans="1:11" ht="18.75" x14ac:dyDescent="0.3">
      <c r="A288" s="38"/>
      <c r="B288" s="32"/>
      <c r="C288" s="21" t="s">
        <v>21</v>
      </c>
      <c r="D288" s="21" t="s">
        <v>101</v>
      </c>
      <c r="E288" s="22"/>
      <c r="F288" s="22"/>
      <c r="G288" s="21"/>
      <c r="H288" s="23">
        <v>14</v>
      </c>
      <c r="I288" s="1"/>
    </row>
    <row r="289" spans="1:10" ht="18.75" x14ac:dyDescent="0.3">
      <c r="A289" s="38"/>
      <c r="B289" s="32"/>
      <c r="C289" s="45"/>
      <c r="D289" s="21" t="s">
        <v>102</v>
      </c>
      <c r="E289" s="22"/>
      <c r="F289" s="22"/>
      <c r="G289" s="21"/>
      <c r="H289" s="141">
        <v>38</v>
      </c>
      <c r="I289" s="1"/>
      <c r="J289">
        <f>K285*0.13+K286*0.26</f>
        <v>51.827578947368423</v>
      </c>
    </row>
    <row r="290" spans="1:10" ht="18.75" x14ac:dyDescent="0.3">
      <c r="A290" s="38"/>
      <c r="B290" s="32"/>
      <c r="C290" s="45"/>
      <c r="D290" s="21" t="s">
        <v>23</v>
      </c>
      <c r="E290" s="22"/>
      <c r="F290" s="22"/>
      <c r="G290" s="21"/>
      <c r="H290" s="141">
        <f>H288+H289</f>
        <v>52</v>
      </c>
      <c r="I290" s="1"/>
    </row>
    <row r="291" spans="1:10" ht="18.75" x14ac:dyDescent="0.3">
      <c r="A291" s="38"/>
      <c r="B291" s="32"/>
      <c r="C291" s="1"/>
      <c r="D291" s="21" t="s">
        <v>24</v>
      </c>
      <c r="E291" s="22"/>
      <c r="F291" s="22"/>
      <c r="G291" s="21"/>
      <c r="H291" s="46">
        <f>(H290+H293)/H286</f>
        <v>0.2060522638636885</v>
      </c>
      <c r="I291" s="1"/>
    </row>
    <row r="292" spans="1:10" ht="18.75" x14ac:dyDescent="0.3">
      <c r="A292" s="38"/>
      <c r="B292" s="32"/>
      <c r="C292" s="45"/>
      <c r="D292" s="21" t="s">
        <v>17</v>
      </c>
      <c r="E292" s="22"/>
      <c r="F292" s="22"/>
      <c r="G292" s="21"/>
      <c r="H292" s="47"/>
      <c r="I292" s="1"/>
    </row>
    <row r="293" spans="1:10" ht="18.75" x14ac:dyDescent="0.3">
      <c r="A293" s="38"/>
      <c r="B293" s="32"/>
      <c r="C293" s="36"/>
      <c r="D293" s="21" t="s">
        <v>98</v>
      </c>
      <c r="E293" s="22"/>
      <c r="F293" s="22"/>
      <c r="G293" s="21"/>
      <c r="H293" s="23">
        <v>0</v>
      </c>
      <c r="I293" s="110">
        <f>J289-H290</f>
        <v>-0.17242105263157725</v>
      </c>
    </row>
    <row r="294" spans="1:10" ht="18.75" x14ac:dyDescent="0.3">
      <c r="A294" s="38"/>
      <c r="B294" s="32"/>
      <c r="C294" s="36"/>
      <c r="D294" s="21" t="s">
        <v>27</v>
      </c>
      <c r="E294" s="22"/>
      <c r="F294" s="22"/>
      <c r="G294" s="21"/>
      <c r="H294" s="48">
        <v>300000</v>
      </c>
      <c r="I294" s="1"/>
    </row>
    <row r="295" spans="1:10" ht="19.5" thickBot="1" x14ac:dyDescent="0.35">
      <c r="A295" s="38"/>
      <c r="B295" s="32"/>
      <c r="C295" s="49"/>
      <c r="D295" s="45"/>
      <c r="E295" s="45"/>
      <c r="F295" s="49"/>
      <c r="G295" s="45"/>
      <c r="H295" s="50"/>
      <c r="I295" s="1"/>
    </row>
    <row r="296" spans="1:10" ht="19.5" thickBot="1" x14ac:dyDescent="0.35">
      <c r="A296" s="38"/>
      <c r="B296" s="32"/>
      <c r="C296" s="51" t="s">
        <v>28</v>
      </c>
      <c r="D296" s="51" t="s">
        <v>29</v>
      </c>
      <c r="E296" s="52"/>
      <c r="F296" s="53">
        <v>6.0999999999999999E-2</v>
      </c>
      <c r="G296" s="54" t="s">
        <v>30</v>
      </c>
      <c r="H296" s="55">
        <f>+F347</f>
        <v>6.1204266490898565E-2</v>
      </c>
      <c r="I296" s="1"/>
    </row>
    <row r="297" spans="1:10" ht="18.75" x14ac:dyDescent="0.3">
      <c r="A297" s="38"/>
      <c r="B297" s="32"/>
      <c r="C297" s="36"/>
      <c r="D297" s="51" t="s">
        <v>31</v>
      </c>
      <c r="E297" s="52"/>
      <c r="F297" s="56">
        <f>F229</f>
        <v>3.65</v>
      </c>
      <c r="G297" s="51" t="s">
        <v>32</v>
      </c>
      <c r="H297" s="57"/>
      <c r="I297" s="1"/>
    </row>
    <row r="298" spans="1:10" ht="19.5" thickBot="1" x14ac:dyDescent="0.35">
      <c r="A298" s="38"/>
      <c r="B298" s="32"/>
      <c r="C298" s="32"/>
      <c r="D298" s="36"/>
      <c r="E298" s="45"/>
      <c r="F298" s="49"/>
      <c r="G298" s="45"/>
      <c r="H298" s="58"/>
      <c r="I298" s="1"/>
    </row>
    <row r="299" spans="1:10" ht="18.75" x14ac:dyDescent="0.3">
      <c r="A299" s="59" t="s">
        <v>33</v>
      </c>
      <c r="B299" s="60"/>
      <c r="C299" s="60"/>
      <c r="D299" s="60"/>
      <c r="E299" s="60"/>
      <c r="F299" s="60"/>
      <c r="G299" s="60"/>
      <c r="H299" s="61"/>
      <c r="I299" s="1"/>
    </row>
    <row r="300" spans="1:10" ht="30" x14ac:dyDescent="0.25">
      <c r="A300" s="62" t="s">
        <v>34</v>
      </c>
      <c r="B300" s="63"/>
      <c r="C300" s="63"/>
      <c r="D300" s="64" t="s">
        <v>35</v>
      </c>
      <c r="E300" s="64" t="s">
        <v>36</v>
      </c>
      <c r="F300" s="64" t="s">
        <v>37</v>
      </c>
      <c r="G300" s="64" t="s">
        <v>38</v>
      </c>
      <c r="H300" s="65" t="s">
        <v>39</v>
      </c>
      <c r="I300" s="1"/>
    </row>
    <row r="301" spans="1:10" x14ac:dyDescent="0.25">
      <c r="A301" s="38"/>
      <c r="B301" s="49" t="s">
        <v>40</v>
      </c>
      <c r="C301" s="49" t="s">
        <v>41</v>
      </c>
      <c r="D301" s="66">
        <f>ROUND(H286-D302-D303,0)</f>
        <v>200</v>
      </c>
      <c r="E301" s="67">
        <v>810</v>
      </c>
      <c r="F301" s="68">
        <f>+G301*E301</f>
        <v>2956.5</v>
      </c>
      <c r="G301" s="69">
        <f>F297</f>
        <v>3.65</v>
      </c>
      <c r="H301" s="70">
        <f>+D301*F301*12</f>
        <v>7095600</v>
      </c>
      <c r="I301" s="1"/>
    </row>
    <row r="302" spans="1:10" x14ac:dyDescent="0.25">
      <c r="A302" s="38"/>
      <c r="B302" s="71" t="s">
        <v>42</v>
      </c>
      <c r="C302" s="49" t="s">
        <v>43</v>
      </c>
      <c r="D302" s="66">
        <f>H288</f>
        <v>14</v>
      </c>
      <c r="E302" s="67">
        <v>810</v>
      </c>
      <c r="F302" s="68">
        <v>1098.26</v>
      </c>
      <c r="G302" s="72">
        <f>IF(H302=0,0,+H302/(E302*D302)/12)</f>
        <v>1.3558765432098765</v>
      </c>
      <c r="H302" s="70">
        <f>+F302*D302*12</f>
        <v>184507.68</v>
      </c>
      <c r="I302" s="1"/>
    </row>
    <row r="303" spans="1:10" x14ac:dyDescent="0.25">
      <c r="A303" s="38"/>
      <c r="B303" s="71" t="s">
        <v>44</v>
      </c>
      <c r="C303" s="49" t="s">
        <v>45</v>
      </c>
      <c r="D303" s="66">
        <f>H289</f>
        <v>38</v>
      </c>
      <c r="E303" s="67">
        <v>810</v>
      </c>
      <c r="F303" s="68">
        <v>784.93925925925919</v>
      </c>
      <c r="G303" s="73">
        <f>IF(H303=0,0,+H303/(E303*D303)/12)</f>
        <v>0.96906081390031995</v>
      </c>
      <c r="H303" s="70">
        <f>+F303*D303*12</f>
        <v>357932.30222222221</v>
      </c>
      <c r="I303" s="1"/>
    </row>
    <row r="304" spans="1:10" x14ac:dyDescent="0.25">
      <c r="A304" s="38"/>
      <c r="B304" s="49" t="s">
        <v>46</v>
      </c>
      <c r="C304" s="49" t="s">
        <v>47</v>
      </c>
      <c r="D304" s="67">
        <v>0</v>
      </c>
      <c r="E304" s="67">
        <v>0</v>
      </c>
      <c r="F304" s="73">
        <v>0</v>
      </c>
      <c r="G304" s="73">
        <v>0</v>
      </c>
      <c r="H304" s="70">
        <f>+G304*E304*D304</f>
        <v>0</v>
      </c>
      <c r="I304" s="1"/>
    </row>
    <row r="305" spans="1:8" x14ac:dyDescent="0.25">
      <c r="A305" s="38"/>
      <c r="B305" s="49"/>
      <c r="C305" s="49" t="s">
        <v>48</v>
      </c>
      <c r="D305" s="67">
        <v>0</v>
      </c>
      <c r="E305" s="67">
        <v>5000</v>
      </c>
      <c r="F305" s="73">
        <f>+G305/12</f>
        <v>0</v>
      </c>
      <c r="G305" s="73">
        <v>0</v>
      </c>
      <c r="H305" s="70">
        <f>+G305*E305*D305</f>
        <v>0</v>
      </c>
    </row>
    <row r="306" spans="1:8" x14ac:dyDescent="0.25">
      <c r="A306" s="38"/>
      <c r="B306" s="74" t="s">
        <v>49</v>
      </c>
      <c r="C306" s="74"/>
      <c r="D306" s="75">
        <f>+H286*H287</f>
        <v>189.27236842105265</v>
      </c>
      <c r="E306" s="76"/>
      <c r="F306" s="76"/>
      <c r="G306" s="76">
        <v>250</v>
      </c>
      <c r="H306" s="77">
        <f>+D306*G306*12</f>
        <v>567817.10526315798</v>
      </c>
    </row>
    <row r="307" spans="1:8" x14ac:dyDescent="0.25">
      <c r="A307" s="38"/>
      <c r="B307" s="49" t="s">
        <v>50</v>
      </c>
      <c r="C307" s="49"/>
      <c r="D307" s="66">
        <f>+H286</f>
        <v>252.36315789473684</v>
      </c>
      <c r="E307" s="67">
        <f>(E301*D301)+(E302*D302)</f>
        <v>173340</v>
      </c>
      <c r="F307" s="73"/>
      <c r="G307" s="68"/>
      <c r="H307" s="70">
        <f>SUM(H301:H306)</f>
        <v>8205857.0874853795</v>
      </c>
    </row>
    <row r="308" spans="1:8" x14ac:dyDescent="0.25">
      <c r="A308" s="38"/>
      <c r="B308" s="49" t="s">
        <v>51</v>
      </c>
      <c r="C308" s="49"/>
      <c r="D308" s="78">
        <v>0.85</v>
      </c>
      <c r="E308" s="67">
        <f>+H285</f>
        <v>239745</v>
      </c>
      <c r="F308" s="68"/>
      <c r="G308" s="68"/>
      <c r="H308" s="70"/>
    </row>
    <row r="309" spans="1:8" x14ac:dyDescent="0.25">
      <c r="A309" s="38"/>
      <c r="B309" s="49" t="s">
        <v>52</v>
      </c>
      <c r="C309" s="49"/>
      <c r="D309" s="78">
        <v>1</v>
      </c>
      <c r="E309" s="67">
        <f>(E304*D304)+(D305*E305)</f>
        <v>0</v>
      </c>
      <c r="F309" s="68"/>
      <c r="G309" s="68"/>
      <c r="H309" s="70"/>
    </row>
    <row r="310" spans="1:8" x14ac:dyDescent="0.25">
      <c r="A310" s="38"/>
      <c r="B310" s="49"/>
      <c r="C310" s="49"/>
      <c r="D310" s="67"/>
      <c r="E310" s="68"/>
      <c r="F310" s="68"/>
      <c r="G310" s="68"/>
      <c r="H310" s="70"/>
    </row>
    <row r="311" spans="1:8" ht="18.75" x14ac:dyDescent="0.3">
      <c r="A311" s="79" t="s">
        <v>53</v>
      </c>
      <c r="B311" s="49"/>
      <c r="C311" s="49" t="str">
        <f>+C301</f>
        <v>Market Rate</v>
      </c>
      <c r="D311" s="67"/>
      <c r="E311" s="68"/>
      <c r="F311" s="68"/>
      <c r="G311" s="80">
        <v>0.05</v>
      </c>
      <c r="H311" s="70">
        <f>-G311*H301</f>
        <v>-354780</v>
      </c>
    </row>
    <row r="312" spans="1:8" ht="12.75" customHeight="1" x14ac:dyDescent="0.3">
      <c r="A312" s="79"/>
      <c r="B312" s="49"/>
      <c r="C312" s="49" t="str">
        <f>+C302</f>
        <v>Low Income</v>
      </c>
      <c r="D312" s="67"/>
      <c r="E312" s="68"/>
      <c r="F312" s="68"/>
      <c r="G312" s="80">
        <v>0</v>
      </c>
      <c r="H312" s="70">
        <f>-G312*H302</f>
        <v>0</v>
      </c>
    </row>
    <row r="313" spans="1:8" ht="12.75" customHeight="1" x14ac:dyDescent="0.3">
      <c r="A313" s="79"/>
      <c r="B313" s="49"/>
      <c r="C313" s="49" t="str">
        <f>+C304</f>
        <v>Market Rate Retail</v>
      </c>
      <c r="D313" s="67"/>
      <c r="E313" s="68"/>
      <c r="F313" s="68"/>
      <c r="G313" s="80">
        <v>0.1</v>
      </c>
      <c r="H313" s="70">
        <f>-G313*H304</f>
        <v>0</v>
      </c>
    </row>
    <row r="314" spans="1:8" x14ac:dyDescent="0.25">
      <c r="A314" s="38"/>
      <c r="B314" s="74"/>
      <c r="C314" s="74" t="str">
        <f>+C305</f>
        <v>Affordable Innovation</v>
      </c>
      <c r="D314" s="75"/>
      <c r="E314" s="76"/>
      <c r="F314" s="76"/>
      <c r="G314" s="81">
        <v>0.2</v>
      </c>
      <c r="H314" s="77">
        <f>-G314*H305</f>
        <v>0</v>
      </c>
    </row>
    <row r="315" spans="1:8" x14ac:dyDescent="0.25">
      <c r="A315" s="38"/>
      <c r="B315" s="49" t="s">
        <v>54</v>
      </c>
      <c r="C315" s="49"/>
      <c r="D315" s="67"/>
      <c r="E315" s="68"/>
      <c r="F315" s="68"/>
      <c r="G315" s="80"/>
      <c r="H315" s="70">
        <f>SUM(H311:H314)</f>
        <v>-354780</v>
      </c>
    </row>
    <row r="316" spans="1:8" s="83" customFormat="1" ht="18.75" x14ac:dyDescent="0.3">
      <c r="A316" s="82"/>
      <c r="C316" s="45"/>
      <c r="D316" s="49"/>
      <c r="E316" s="49"/>
      <c r="F316" s="84"/>
      <c r="G316" s="85"/>
      <c r="H316" s="70"/>
    </row>
    <row r="317" spans="1:8" ht="18.75" x14ac:dyDescent="0.3">
      <c r="A317" s="79" t="s">
        <v>55</v>
      </c>
      <c r="B317" s="49"/>
      <c r="C317" s="49"/>
      <c r="D317" s="67"/>
      <c r="E317" s="68"/>
      <c r="F317" s="68"/>
      <c r="G317" s="68"/>
      <c r="H317" s="70">
        <f>+H307+H315</f>
        <v>7851077.0874853795</v>
      </c>
    </row>
    <row r="318" spans="1:8" x14ac:dyDescent="0.25">
      <c r="A318" s="38"/>
      <c r="B318" s="49"/>
      <c r="C318" s="49"/>
      <c r="D318" s="67"/>
      <c r="E318" s="68"/>
      <c r="F318" s="68"/>
      <c r="G318" s="68"/>
      <c r="H318" s="70"/>
    </row>
    <row r="319" spans="1:8" ht="18.75" x14ac:dyDescent="0.3">
      <c r="A319" s="79" t="s">
        <v>56</v>
      </c>
      <c r="B319" s="49"/>
      <c r="C319" s="49"/>
      <c r="D319" s="49"/>
      <c r="E319" s="49"/>
      <c r="F319" s="49"/>
      <c r="G319" s="49"/>
      <c r="H319" s="70"/>
    </row>
    <row r="320" spans="1:8" x14ac:dyDescent="0.25">
      <c r="A320" s="38"/>
      <c r="B320" s="49" t="s">
        <v>57</v>
      </c>
      <c r="C320" s="49" t="s">
        <v>58</v>
      </c>
      <c r="D320" s="49"/>
      <c r="E320" s="49"/>
      <c r="F320" s="68">
        <v>7500</v>
      </c>
      <c r="G320" s="68" t="s">
        <v>59</v>
      </c>
      <c r="H320" s="70">
        <f>-F320*D307</f>
        <v>-1892723.6842105263</v>
      </c>
    </row>
    <row r="321" spans="1:11" x14ac:dyDescent="0.25">
      <c r="A321" s="38"/>
      <c r="B321" s="49"/>
      <c r="C321" s="49" t="s">
        <v>60</v>
      </c>
      <c r="D321" s="78">
        <v>7.0000000000000007E-2</v>
      </c>
      <c r="E321" s="49" t="s">
        <v>61</v>
      </c>
      <c r="F321" s="68">
        <f>ROUND(-H321/D307,-2)</f>
        <v>2200</v>
      </c>
      <c r="G321" s="68" t="s">
        <v>59</v>
      </c>
      <c r="H321" s="70">
        <f>(H301+H302+H306)*-D321</f>
        <v>-549354.73496842105</v>
      </c>
      <c r="I321" s="1"/>
      <c r="J321" s="1"/>
      <c r="K321" s="1"/>
    </row>
    <row r="322" spans="1:11" x14ac:dyDescent="0.25">
      <c r="A322" s="38"/>
      <c r="B322" s="49"/>
      <c r="C322" s="49" t="s">
        <v>62</v>
      </c>
      <c r="D322" s="80">
        <v>2.5000000000000001E-2</v>
      </c>
      <c r="E322" s="49" t="s">
        <v>63</v>
      </c>
      <c r="F322" s="68">
        <f>-H322/D307</f>
        <v>738.57141115560273</v>
      </c>
      <c r="G322" s="68" t="s">
        <v>59</v>
      </c>
      <c r="H322" s="70">
        <f>-D322*((H301+H302+H306)*(1-G311))</f>
        <v>-186388.21364999999</v>
      </c>
      <c r="I322" s="1"/>
      <c r="J322" s="1"/>
      <c r="K322" s="1"/>
    </row>
    <row r="323" spans="1:11" x14ac:dyDescent="0.25">
      <c r="A323" s="38"/>
      <c r="B323" s="49"/>
      <c r="C323" s="49" t="s">
        <v>64</v>
      </c>
      <c r="D323" s="49"/>
      <c r="E323" s="49"/>
      <c r="F323" s="68">
        <v>250</v>
      </c>
      <c r="G323" s="68" t="s">
        <v>59</v>
      </c>
      <c r="H323" s="70">
        <f>-F323*D307</f>
        <v>-63090.789473684214</v>
      </c>
      <c r="I323" s="1"/>
      <c r="J323" s="1"/>
      <c r="K323" s="1"/>
    </row>
    <row r="324" spans="1:11" x14ac:dyDescent="0.25">
      <c r="A324" s="38"/>
      <c r="B324" s="74" t="s">
        <v>46</v>
      </c>
      <c r="C324" s="86" t="s">
        <v>65</v>
      </c>
      <c r="D324" s="74"/>
      <c r="E324" s="74"/>
      <c r="F324" s="87">
        <v>0.02</v>
      </c>
      <c r="G324" s="74" t="s">
        <v>66</v>
      </c>
      <c r="H324" s="77">
        <f>-F324*(H304+H305)</f>
        <v>0</v>
      </c>
      <c r="I324" s="1"/>
      <c r="J324" s="1"/>
      <c r="K324" s="1"/>
    </row>
    <row r="325" spans="1:11" x14ac:dyDescent="0.25">
      <c r="A325" s="38"/>
      <c r="B325" s="49" t="s">
        <v>67</v>
      </c>
      <c r="C325" s="49"/>
      <c r="D325" s="78">
        <f>-H325/H317</f>
        <v>0.34282651823569216</v>
      </c>
      <c r="E325" s="68" t="s">
        <v>68</v>
      </c>
      <c r="F325" s="68">
        <f>-H325/D307</f>
        <v>10665.413465087904</v>
      </c>
      <c r="G325" s="68" t="s">
        <v>59</v>
      </c>
      <c r="H325" s="70">
        <f>SUM(H320:H324)</f>
        <v>-2691557.4223026312</v>
      </c>
      <c r="I325" s="1"/>
      <c r="J325" s="1"/>
      <c r="K325" s="1"/>
    </row>
    <row r="326" spans="1:11" ht="15.75" thickBot="1" x14ac:dyDescent="0.3">
      <c r="A326" s="38"/>
      <c r="B326" s="49"/>
      <c r="C326" s="49"/>
      <c r="D326" s="49"/>
      <c r="E326" s="32"/>
      <c r="F326" s="49"/>
      <c r="G326" s="49"/>
      <c r="H326" s="70"/>
      <c r="I326" s="1"/>
      <c r="J326" s="1"/>
      <c r="K326" s="1"/>
    </row>
    <row r="327" spans="1:11" ht="18.75" x14ac:dyDescent="0.3">
      <c r="A327" s="79" t="s">
        <v>69</v>
      </c>
      <c r="B327" s="49"/>
      <c r="C327" s="49"/>
      <c r="D327" s="78">
        <f>+H327/H317</f>
        <v>0.6571734817643079</v>
      </c>
      <c r="E327" s="68" t="s">
        <v>68</v>
      </c>
      <c r="F327" s="68">
        <f>+H327/D307</f>
        <v>20444.821297310107</v>
      </c>
      <c r="G327" s="68" t="s">
        <v>59</v>
      </c>
      <c r="H327" s="70">
        <f>+H317+H325</f>
        <v>5159519.6651827488</v>
      </c>
      <c r="I327" s="1"/>
      <c r="J327" s="88">
        <f>+H327/1.25</f>
        <v>4127615.7321461989</v>
      </c>
      <c r="K327" s="89" t="s">
        <v>70</v>
      </c>
    </row>
    <row r="328" spans="1:11" x14ac:dyDescent="0.25">
      <c r="A328" s="38"/>
      <c r="B328" s="49"/>
      <c r="C328" s="49"/>
      <c r="D328" s="49"/>
      <c r="E328" s="49"/>
      <c r="F328" s="49"/>
      <c r="G328" s="49"/>
      <c r="H328" s="70"/>
      <c r="I328" s="1"/>
      <c r="J328" s="90">
        <f>-J327/(PMT(0.04/12,30*12,1)*12)</f>
        <v>72047959.281131938</v>
      </c>
      <c r="K328" s="91" t="s">
        <v>71</v>
      </c>
    </row>
    <row r="329" spans="1:11" ht="18.75" x14ac:dyDescent="0.3">
      <c r="A329" s="79" t="s">
        <v>72</v>
      </c>
      <c r="B329" s="49"/>
      <c r="C329" s="49"/>
      <c r="D329" s="49"/>
      <c r="E329" s="49"/>
      <c r="F329" s="49"/>
      <c r="G329" s="49"/>
      <c r="H329" s="70"/>
      <c r="I329" s="1"/>
      <c r="J329" s="92">
        <f>+H343-J328</f>
        <v>12252040.718868062</v>
      </c>
      <c r="K329" s="91" t="s">
        <v>73</v>
      </c>
    </row>
    <row r="330" spans="1:11" x14ac:dyDescent="0.25">
      <c r="A330" s="38"/>
      <c r="B330" s="49" t="s">
        <v>74</v>
      </c>
      <c r="C330" s="49"/>
      <c r="D330" s="49"/>
      <c r="E330" s="93" t="s">
        <v>75</v>
      </c>
      <c r="F330" s="94">
        <v>0.05</v>
      </c>
      <c r="G330" s="49" t="s">
        <v>76</v>
      </c>
      <c r="H330" s="70">
        <f>+H327/F330</f>
        <v>103190393.30365497</v>
      </c>
      <c r="I330" s="1"/>
      <c r="J330" s="92">
        <f>+H327-J327</f>
        <v>1031903.9330365499</v>
      </c>
      <c r="K330" s="91" t="s">
        <v>77</v>
      </c>
    </row>
    <row r="331" spans="1:11" ht="15.75" thickBot="1" x14ac:dyDescent="0.3">
      <c r="A331" s="38"/>
      <c r="B331" s="49"/>
      <c r="C331" s="49"/>
      <c r="D331" s="49"/>
      <c r="E331" s="49"/>
      <c r="F331" s="49"/>
      <c r="G331" s="93" t="s">
        <v>78</v>
      </c>
      <c r="H331" s="70">
        <f>ROUND(H330,-5)</f>
        <v>103200000</v>
      </c>
      <c r="I331" s="1"/>
      <c r="J331" s="95">
        <f>+J330/J329</f>
        <v>8.4223025103681279E-2</v>
      </c>
      <c r="K331" s="96" t="s">
        <v>79</v>
      </c>
    </row>
    <row r="332" spans="1:11" x14ac:dyDescent="0.25">
      <c r="A332" s="38"/>
      <c r="B332" s="49"/>
      <c r="C332" s="49"/>
      <c r="D332" s="49"/>
      <c r="E332" s="49"/>
      <c r="F332" s="49"/>
      <c r="G332" s="93" t="s">
        <v>80</v>
      </c>
      <c r="H332" s="70">
        <f>+H331/E308</f>
        <v>430.45736094600511</v>
      </c>
      <c r="I332" s="1"/>
      <c r="J332" s="1"/>
      <c r="K332" s="1"/>
    </row>
    <row r="333" spans="1:11" x14ac:dyDescent="0.25">
      <c r="A333" s="38"/>
      <c r="B333" s="49"/>
      <c r="C333" s="49"/>
      <c r="D333" s="49"/>
      <c r="E333" s="49"/>
      <c r="F333" s="49"/>
      <c r="G333" s="93" t="s">
        <v>59</v>
      </c>
      <c r="H333" s="70">
        <f>+H331/D307</f>
        <v>408934.49289870489</v>
      </c>
      <c r="I333" s="1"/>
      <c r="J333" s="1">
        <v>646091.59779614327</v>
      </c>
      <c r="K333" s="2">
        <f>+J333-H333</f>
        <v>237157.10489743837</v>
      </c>
    </row>
    <row r="334" spans="1:11" x14ac:dyDescent="0.25">
      <c r="A334" s="97"/>
      <c r="B334" s="74"/>
      <c r="C334" s="74"/>
      <c r="D334" s="74"/>
      <c r="E334" s="74"/>
      <c r="F334" s="74"/>
      <c r="G334" s="98"/>
      <c r="H334" s="77"/>
      <c r="I334" s="1"/>
      <c r="J334" s="1"/>
      <c r="K334" s="1"/>
    </row>
    <row r="335" spans="1:11" x14ac:dyDescent="0.25">
      <c r="A335" s="38"/>
      <c r="B335" s="49"/>
      <c r="C335" s="49"/>
      <c r="D335" s="49"/>
      <c r="E335" s="49"/>
      <c r="F335" s="94"/>
      <c r="G335" s="49"/>
      <c r="H335" s="70"/>
      <c r="I335" s="1"/>
      <c r="J335" s="1"/>
      <c r="K335" s="1"/>
    </row>
    <row r="336" spans="1:11" ht="19.5" thickBot="1" x14ac:dyDescent="0.35">
      <c r="A336" s="79" t="s">
        <v>81</v>
      </c>
      <c r="B336" s="49"/>
      <c r="C336" s="49"/>
      <c r="D336" s="49"/>
      <c r="E336" s="49"/>
      <c r="F336" s="49"/>
      <c r="G336" s="49"/>
      <c r="H336" s="70"/>
      <c r="I336" s="1"/>
      <c r="J336" s="1"/>
      <c r="K336" s="1"/>
    </row>
    <row r="337" spans="1:11" ht="19.5" thickBot="1" x14ac:dyDescent="0.35">
      <c r="A337" s="79"/>
      <c r="B337" s="49" t="s">
        <v>82</v>
      </c>
      <c r="C337" s="49"/>
      <c r="D337" s="68">
        <f>+H337/D307</f>
        <v>13972.919143256377</v>
      </c>
      <c r="E337" s="49" t="s">
        <v>59</v>
      </c>
      <c r="F337" s="73">
        <v>70</v>
      </c>
      <c r="G337" s="49" t="s">
        <v>83</v>
      </c>
      <c r="H337" s="99">
        <f>F337*H283</f>
        <v>3526250</v>
      </c>
    </row>
    <row r="338" spans="1:11" ht="12.75" customHeight="1" x14ac:dyDescent="0.3">
      <c r="A338" s="79"/>
      <c r="B338" s="49" t="s">
        <v>84</v>
      </c>
      <c r="C338" s="49"/>
      <c r="D338" s="68">
        <v>300000</v>
      </c>
      <c r="E338" s="49" t="s">
        <v>59</v>
      </c>
      <c r="F338" s="67">
        <f>H293</f>
        <v>0</v>
      </c>
      <c r="G338" s="49" t="s">
        <v>35</v>
      </c>
      <c r="H338" s="70">
        <f>+F338*D338</f>
        <v>0</v>
      </c>
    </row>
    <row r="339" spans="1:11" x14ac:dyDescent="0.25">
      <c r="A339" s="38"/>
      <c r="B339" s="49" t="s">
        <v>57</v>
      </c>
      <c r="C339" s="49"/>
      <c r="D339" s="49"/>
      <c r="E339" s="49"/>
      <c r="F339" s="73">
        <f>280*0.92</f>
        <v>257.60000000000002</v>
      </c>
      <c r="G339" s="49" t="s">
        <v>85</v>
      </c>
      <c r="H339" s="70">
        <f>+F339*E308</f>
        <v>61758312.000000007</v>
      </c>
    </row>
    <row r="340" spans="1:11" x14ac:dyDescent="0.25">
      <c r="A340" s="38"/>
      <c r="B340" s="49" t="s">
        <v>46</v>
      </c>
      <c r="C340" s="49"/>
      <c r="D340" s="49"/>
      <c r="E340" s="49"/>
      <c r="F340" s="73">
        <v>280</v>
      </c>
      <c r="G340" s="49" t="s">
        <v>85</v>
      </c>
      <c r="H340" s="70">
        <f>F340*(E309)</f>
        <v>0</v>
      </c>
    </row>
    <row r="341" spans="1:11" x14ac:dyDescent="0.25">
      <c r="A341" s="38"/>
      <c r="B341" s="49" t="s">
        <v>86</v>
      </c>
      <c r="C341" s="49" t="s">
        <v>87</v>
      </c>
      <c r="D341" s="67">
        <f>+D306</f>
        <v>189.27236842105265</v>
      </c>
      <c r="E341" s="32" t="s">
        <v>88</v>
      </c>
      <c r="F341" s="68">
        <v>35000</v>
      </c>
      <c r="G341" s="49" t="s">
        <v>89</v>
      </c>
      <c r="H341" s="70">
        <f>+F341*D306</f>
        <v>6624532.8947368423</v>
      </c>
    </row>
    <row r="342" spans="1:11" x14ac:dyDescent="0.25">
      <c r="A342" s="38"/>
      <c r="B342" s="74" t="s">
        <v>90</v>
      </c>
      <c r="C342" s="74"/>
      <c r="D342" s="74"/>
      <c r="E342" s="74"/>
      <c r="F342" s="87">
        <v>0.2</v>
      </c>
      <c r="G342" s="74" t="s">
        <v>91</v>
      </c>
      <c r="H342" s="77">
        <f>ROUND((H339+H340)*F342,-5)</f>
        <v>12400000</v>
      </c>
    </row>
    <row r="343" spans="1:11" x14ac:dyDescent="0.25">
      <c r="A343" s="38"/>
      <c r="B343" s="49"/>
      <c r="C343" s="49"/>
      <c r="D343" s="49"/>
      <c r="E343" s="49"/>
      <c r="F343" s="49"/>
      <c r="G343" s="93" t="s">
        <v>78</v>
      </c>
      <c r="H343" s="70">
        <f>ROUND(SUM(H337:H342),-5)</f>
        <v>84300000</v>
      </c>
    </row>
    <row r="344" spans="1:11" x14ac:dyDescent="0.25">
      <c r="A344" s="38"/>
      <c r="B344" s="49"/>
      <c r="C344" s="49"/>
      <c r="D344" s="49"/>
      <c r="E344" s="49"/>
      <c r="F344" s="49"/>
      <c r="G344" s="93" t="s">
        <v>80</v>
      </c>
      <c r="H344" s="70">
        <f>+H343/(E308+E309)</f>
        <v>351.62360007507976</v>
      </c>
    </row>
    <row r="345" spans="1:11" x14ac:dyDescent="0.25">
      <c r="A345" s="38"/>
      <c r="B345" s="49"/>
      <c r="C345" s="49"/>
      <c r="D345" s="49"/>
      <c r="E345" s="49"/>
      <c r="F345" s="49"/>
      <c r="G345" s="93" t="s">
        <v>59</v>
      </c>
      <c r="H345" s="70">
        <f>+H343/H286</f>
        <v>334042.42007132579</v>
      </c>
    </row>
    <row r="346" spans="1:11" x14ac:dyDescent="0.25">
      <c r="A346" s="38"/>
      <c r="B346" s="49"/>
      <c r="C346" s="49"/>
      <c r="D346" s="49"/>
      <c r="E346" s="49"/>
      <c r="F346" s="49"/>
      <c r="G346" s="49"/>
      <c r="H346" s="70"/>
    </row>
    <row r="347" spans="1:11" ht="18.75" x14ac:dyDescent="0.3">
      <c r="A347" s="100" t="s">
        <v>92</v>
      </c>
      <c r="B347" s="49"/>
      <c r="C347" s="49"/>
      <c r="D347" s="49"/>
      <c r="E347" s="93" t="s">
        <v>93</v>
      </c>
      <c r="F347" s="80">
        <f>+H327/H343</f>
        <v>6.1204266490898565E-2</v>
      </c>
      <c r="G347" s="93" t="s">
        <v>94</v>
      </c>
      <c r="H347" s="70">
        <f>+H331-H343</f>
        <v>18900000</v>
      </c>
    </row>
    <row r="348" spans="1:11" ht="15.75" thickBot="1" x14ac:dyDescent="0.3">
      <c r="A348" s="101"/>
      <c r="B348" s="102"/>
      <c r="C348" s="102"/>
      <c r="D348" s="103"/>
      <c r="E348" s="103"/>
      <c r="F348" s="103"/>
      <c r="G348" s="102"/>
      <c r="H348" s="104"/>
    </row>
    <row r="349" spans="1:11" ht="15.75" thickBot="1" x14ac:dyDescent="0.3">
      <c r="A349" s="38"/>
      <c r="B349" s="49"/>
      <c r="C349" s="49"/>
      <c r="D349" s="32"/>
      <c r="E349" s="32"/>
      <c r="F349" s="32"/>
      <c r="G349" s="49"/>
      <c r="H349" s="70"/>
    </row>
    <row r="350" spans="1:11" ht="18.75" x14ac:dyDescent="0.3">
      <c r="A350" s="3" t="s">
        <v>7</v>
      </c>
      <c r="B350" s="4"/>
      <c r="C350" s="5" t="s">
        <v>8</v>
      </c>
      <c r="D350" s="6" t="s">
        <v>9</v>
      </c>
      <c r="E350" s="7"/>
      <c r="F350" s="7"/>
      <c r="G350" s="8" t="s">
        <v>10</v>
      </c>
      <c r="H350" s="25" t="s">
        <v>11</v>
      </c>
    </row>
    <row r="351" spans="1:11" ht="18.75" x14ac:dyDescent="0.3">
      <c r="A351" s="26" t="s">
        <v>12</v>
      </c>
      <c r="B351" s="27"/>
      <c r="C351" s="11"/>
      <c r="D351" s="28" t="s">
        <v>1</v>
      </c>
      <c r="E351" s="12" t="s">
        <v>13</v>
      </c>
      <c r="F351" s="29">
        <v>1</v>
      </c>
      <c r="G351" s="30" t="s">
        <v>14</v>
      </c>
      <c r="H351" s="31">
        <v>38850</v>
      </c>
    </row>
    <row r="352" spans="1:11" ht="18.75" x14ac:dyDescent="0.3">
      <c r="A352" s="26" t="s">
        <v>105</v>
      </c>
      <c r="B352" s="27"/>
      <c r="C352" s="32"/>
      <c r="D352" s="11" t="s">
        <v>16</v>
      </c>
      <c r="E352" s="12"/>
      <c r="F352" s="33"/>
      <c r="G352" s="14" t="s">
        <v>4</v>
      </c>
      <c r="H352" s="15">
        <f>H353/H351</f>
        <v>6.3640926640926638</v>
      </c>
      <c r="I352" s="148" t="s">
        <v>138</v>
      </c>
      <c r="J352" s="146"/>
      <c r="K352" s="144" t="s">
        <v>139</v>
      </c>
    </row>
    <row r="353" spans="1:13" ht="19.5" thickBot="1" x14ac:dyDescent="0.35">
      <c r="A353" s="34" t="s">
        <v>17</v>
      </c>
      <c r="B353" s="35"/>
      <c r="C353" s="36"/>
      <c r="D353" s="11" t="s">
        <v>18</v>
      </c>
      <c r="E353" s="17"/>
      <c r="F353" s="17"/>
      <c r="G353" s="37" t="s">
        <v>19</v>
      </c>
      <c r="H353" s="31">
        <v>247245</v>
      </c>
      <c r="I353" s="145">
        <f>H351*2</f>
        <v>77700</v>
      </c>
      <c r="J353" s="146" t="s">
        <v>137</v>
      </c>
      <c r="K353" s="144">
        <f>I353/G354</f>
        <v>81.78947368421052</v>
      </c>
      <c r="M353" s="1" t="s">
        <v>106</v>
      </c>
    </row>
    <row r="354" spans="1:13" ht="18.75" x14ac:dyDescent="0.3">
      <c r="A354" s="38"/>
      <c r="B354" s="32"/>
      <c r="C354" s="36"/>
      <c r="D354" s="11" t="s">
        <v>5</v>
      </c>
      <c r="E354" s="17"/>
      <c r="F354" s="17"/>
      <c r="G354" s="18">
        <f>G286</f>
        <v>950</v>
      </c>
      <c r="H354" s="39">
        <f>H353/G354</f>
        <v>260.2578947368421</v>
      </c>
      <c r="I354" s="145">
        <f>H353-I353</f>
        <v>169545</v>
      </c>
      <c r="J354" s="147" t="s">
        <v>140</v>
      </c>
      <c r="K354" s="144">
        <f>I354/G354</f>
        <v>178.46842105263158</v>
      </c>
      <c r="M354" s="112">
        <f>H150+H218+H286+H354</f>
        <v>1568.4526315789471</v>
      </c>
    </row>
    <row r="355" spans="1:13" ht="18.75" x14ac:dyDescent="0.3">
      <c r="A355" s="38"/>
      <c r="B355" s="32"/>
      <c r="C355" s="1"/>
      <c r="D355" s="11" t="s">
        <v>20</v>
      </c>
      <c r="E355" s="17"/>
      <c r="F355" s="17"/>
      <c r="G355" s="41"/>
      <c r="H355" s="42">
        <v>0.75</v>
      </c>
      <c r="I355" s="143"/>
      <c r="J355" s="143"/>
      <c r="K355" s="144">
        <f>SUM(K353:K354)</f>
        <v>260.2578947368421</v>
      </c>
      <c r="M355" s="16"/>
    </row>
    <row r="356" spans="1:13" ht="18.75" x14ac:dyDescent="0.3">
      <c r="A356" s="38"/>
      <c r="B356" s="32"/>
      <c r="C356" s="21" t="s">
        <v>21</v>
      </c>
      <c r="D356" s="21" t="s">
        <v>101</v>
      </c>
      <c r="E356" s="22"/>
      <c r="F356" s="22"/>
      <c r="G356" s="21"/>
      <c r="H356" s="141">
        <v>11</v>
      </c>
      <c r="I356" s="44"/>
      <c r="M356" s="20">
        <f>H152+H220+H288+H356</f>
        <v>104</v>
      </c>
    </row>
    <row r="357" spans="1:13" ht="18.75" x14ac:dyDescent="0.3">
      <c r="A357" s="38"/>
      <c r="B357" s="32"/>
      <c r="C357" s="45"/>
      <c r="D357" s="21" t="s">
        <v>102</v>
      </c>
      <c r="E357" s="22"/>
      <c r="F357" s="22"/>
      <c r="G357" s="21"/>
      <c r="H357" s="141">
        <v>46</v>
      </c>
      <c r="I357" s="1"/>
      <c r="J357" s="140">
        <f>K353*0.13+K354*0.26</f>
        <v>57.034421052631579</v>
      </c>
      <c r="M357" s="20">
        <f>H153+H221+H289+H357</f>
        <v>201</v>
      </c>
    </row>
    <row r="358" spans="1:13" ht="18.75" x14ac:dyDescent="0.3">
      <c r="A358" s="38"/>
      <c r="B358" s="32"/>
      <c r="C358" s="45"/>
      <c r="D358" s="21" t="s">
        <v>23</v>
      </c>
      <c r="E358" s="22"/>
      <c r="F358" s="22"/>
      <c r="G358" s="21"/>
      <c r="H358" s="141">
        <f>SUM(H356:H357)</f>
        <v>57</v>
      </c>
      <c r="I358" s="1"/>
      <c r="M358" s="20">
        <f>H154+H222+H290+H358</f>
        <v>305</v>
      </c>
    </row>
    <row r="359" spans="1:13" ht="18.75" x14ac:dyDescent="0.3">
      <c r="A359" s="38"/>
      <c r="B359" s="32"/>
      <c r="C359" s="1"/>
      <c r="D359" s="21" t="s">
        <v>24</v>
      </c>
      <c r="E359" s="22"/>
      <c r="F359" s="22"/>
      <c r="G359" s="21"/>
      <c r="H359" s="46">
        <f>H358/H354</f>
        <v>0.21901352909057817</v>
      </c>
      <c r="I359" s="1"/>
      <c r="M359" s="16"/>
    </row>
    <row r="360" spans="1:13" ht="18.75" x14ac:dyDescent="0.3">
      <c r="A360" s="38"/>
      <c r="B360" s="32"/>
      <c r="C360" s="45"/>
      <c r="D360" s="21" t="s">
        <v>17</v>
      </c>
      <c r="E360" s="22"/>
      <c r="F360" s="22"/>
      <c r="G360" s="21"/>
      <c r="H360" s="47"/>
      <c r="I360" s="1"/>
      <c r="M360" s="16"/>
    </row>
    <row r="361" spans="1:13" ht="19.5" thickBot="1" x14ac:dyDescent="0.35">
      <c r="A361" s="38"/>
      <c r="B361" s="32"/>
      <c r="C361" s="36"/>
      <c r="D361" s="21" t="s">
        <v>98</v>
      </c>
      <c r="E361" s="22"/>
      <c r="F361" s="22"/>
      <c r="G361" s="21"/>
      <c r="H361" s="23">
        <v>0</v>
      </c>
      <c r="I361" s="110">
        <f>J357-H358</f>
        <v>3.442105263157913E-2</v>
      </c>
      <c r="M361" s="113">
        <f>H157+H225+H293+H361</f>
        <v>0</v>
      </c>
    </row>
    <row r="362" spans="1:13" ht="18.75" x14ac:dyDescent="0.3">
      <c r="A362" s="38"/>
      <c r="B362" s="32"/>
      <c r="C362" s="36"/>
      <c r="D362" s="21" t="s">
        <v>27</v>
      </c>
      <c r="E362" s="22"/>
      <c r="F362" s="22"/>
      <c r="G362" s="21"/>
      <c r="H362" s="48">
        <v>300000</v>
      </c>
      <c r="I362" s="1"/>
      <c r="J362" s="1"/>
    </row>
    <row r="363" spans="1:13" ht="19.5" thickBot="1" x14ac:dyDescent="0.35">
      <c r="A363" s="38"/>
      <c r="B363" s="32"/>
      <c r="C363" s="49"/>
      <c r="D363" s="45"/>
      <c r="E363" s="45"/>
      <c r="F363" s="49"/>
      <c r="G363" s="45"/>
      <c r="H363" s="50"/>
      <c r="I363" s="1"/>
      <c r="J363" s="1"/>
    </row>
    <row r="364" spans="1:13" ht="19.5" thickBot="1" x14ac:dyDescent="0.35">
      <c r="A364" s="38"/>
      <c r="B364" s="32"/>
      <c r="C364" s="51" t="s">
        <v>28</v>
      </c>
      <c r="D364" s="51" t="s">
        <v>29</v>
      </c>
      <c r="E364" s="52"/>
      <c r="F364" s="53">
        <v>6.0999999999999999E-2</v>
      </c>
      <c r="G364" s="54" t="s">
        <v>30</v>
      </c>
      <c r="H364" s="55">
        <f>+F415</f>
        <v>6.1060429166326279E-2</v>
      </c>
      <c r="I364" s="1"/>
      <c r="J364" s="1"/>
    </row>
    <row r="365" spans="1:13" ht="18.75" x14ac:dyDescent="0.3">
      <c r="A365" s="38"/>
      <c r="B365" s="32"/>
      <c r="C365" s="36"/>
      <c r="D365" s="51" t="s">
        <v>31</v>
      </c>
      <c r="E365" s="52"/>
      <c r="F365" s="56">
        <f>F297</f>
        <v>3.65</v>
      </c>
      <c r="G365" s="51" t="s">
        <v>32</v>
      </c>
      <c r="H365" s="57"/>
      <c r="I365" s="1"/>
      <c r="J365" s="1"/>
    </row>
    <row r="366" spans="1:13" ht="19.5" thickBot="1" x14ac:dyDescent="0.35">
      <c r="A366" s="38"/>
      <c r="B366" s="32"/>
      <c r="C366" s="32"/>
      <c r="D366" s="36"/>
      <c r="E366" s="45"/>
      <c r="F366" s="49"/>
      <c r="G366" s="45"/>
      <c r="H366" s="58"/>
      <c r="I366" s="1"/>
      <c r="J366" s="1"/>
    </row>
    <row r="367" spans="1:13" ht="18.75" x14ac:dyDescent="0.3">
      <c r="A367" s="59" t="s">
        <v>33</v>
      </c>
      <c r="B367" s="60"/>
      <c r="C367" s="60"/>
      <c r="D367" s="60"/>
      <c r="E367" s="60"/>
      <c r="F367" s="60"/>
      <c r="G367" s="60"/>
      <c r="H367" s="61"/>
      <c r="I367" s="1"/>
      <c r="J367" s="1"/>
    </row>
    <row r="368" spans="1:13" ht="30" x14ac:dyDescent="0.25">
      <c r="A368" s="62" t="s">
        <v>34</v>
      </c>
      <c r="B368" s="63"/>
      <c r="C368" s="63"/>
      <c r="D368" s="64" t="s">
        <v>35</v>
      </c>
      <c r="E368" s="64" t="s">
        <v>36</v>
      </c>
      <c r="F368" s="64" t="s">
        <v>37</v>
      </c>
      <c r="G368" s="64" t="s">
        <v>38</v>
      </c>
      <c r="H368" s="65" t="s">
        <v>39</v>
      </c>
      <c r="I368" s="1"/>
      <c r="J368" s="1"/>
    </row>
    <row r="369" spans="1:8" x14ac:dyDescent="0.25">
      <c r="A369" s="38"/>
      <c r="B369" s="49" t="s">
        <v>40</v>
      </c>
      <c r="C369" s="49" t="s">
        <v>41</v>
      </c>
      <c r="D369" s="66">
        <f>ROUND(H354-D370-D371,0)</f>
        <v>203</v>
      </c>
      <c r="E369" s="67">
        <v>810</v>
      </c>
      <c r="F369" s="68">
        <f>+G369*E369</f>
        <v>2956.5</v>
      </c>
      <c r="G369" s="69">
        <f>F365</f>
        <v>3.65</v>
      </c>
      <c r="H369" s="70">
        <f>+D369*F369*12</f>
        <v>7202034</v>
      </c>
    </row>
    <row r="370" spans="1:8" x14ac:dyDescent="0.25">
      <c r="A370" s="38"/>
      <c r="B370" s="71" t="s">
        <v>42</v>
      </c>
      <c r="C370" s="49" t="s">
        <v>43</v>
      </c>
      <c r="D370" s="66">
        <f>H356</f>
        <v>11</v>
      </c>
      <c r="E370" s="67">
        <v>810</v>
      </c>
      <c r="F370" s="68">
        <v>1098.26</v>
      </c>
      <c r="G370" s="72">
        <f>IF(H370=0,0,+H370/(E370*D370)/12)</f>
        <v>1.3558765432098765</v>
      </c>
      <c r="H370" s="70">
        <f>+F370*D370*12</f>
        <v>144970.32</v>
      </c>
    </row>
    <row r="371" spans="1:8" x14ac:dyDescent="0.25">
      <c r="A371" s="38"/>
      <c r="B371" s="71" t="s">
        <v>44</v>
      </c>
      <c r="C371" s="49" t="s">
        <v>45</v>
      </c>
      <c r="D371" s="66">
        <f>H357</f>
        <v>46</v>
      </c>
      <c r="E371" s="67">
        <v>810</v>
      </c>
      <c r="F371" s="68">
        <v>784.93925925925919</v>
      </c>
      <c r="G371" s="73">
        <f>IF(H371=0,0,+H371/(E371*D371)/12)</f>
        <v>0.96906081390032017</v>
      </c>
      <c r="H371" s="70">
        <f>+F371*D371*12</f>
        <v>433286.47111111111</v>
      </c>
    </row>
    <row r="372" spans="1:8" x14ac:dyDescent="0.25">
      <c r="A372" s="38"/>
      <c r="B372" s="49" t="s">
        <v>46</v>
      </c>
      <c r="C372" s="49" t="s">
        <v>47</v>
      </c>
      <c r="D372" s="67">
        <v>0</v>
      </c>
      <c r="E372" s="67">
        <v>0</v>
      </c>
      <c r="F372" s="73">
        <v>0</v>
      </c>
      <c r="G372" s="73">
        <v>0</v>
      </c>
      <c r="H372" s="70">
        <f>+G372*E372*D372</f>
        <v>0</v>
      </c>
    </row>
    <row r="373" spans="1:8" x14ac:dyDescent="0.25">
      <c r="A373" s="38"/>
      <c r="B373" s="49"/>
      <c r="C373" s="49" t="s">
        <v>48</v>
      </c>
      <c r="D373" s="67">
        <v>0</v>
      </c>
      <c r="E373" s="67">
        <v>5000</v>
      </c>
      <c r="F373" s="73">
        <f>+G373/12</f>
        <v>0</v>
      </c>
      <c r="G373" s="73">
        <v>0</v>
      </c>
      <c r="H373" s="70">
        <f>+G373*E373*D373</f>
        <v>0</v>
      </c>
    </row>
    <row r="374" spans="1:8" x14ac:dyDescent="0.25">
      <c r="A374" s="38"/>
      <c r="B374" s="74" t="s">
        <v>49</v>
      </c>
      <c r="C374" s="74"/>
      <c r="D374" s="75">
        <f>+H354*H355</f>
        <v>195.19342105263158</v>
      </c>
      <c r="E374" s="76"/>
      <c r="F374" s="76"/>
      <c r="G374" s="76">
        <v>250</v>
      </c>
      <c r="H374" s="77">
        <f>+D374*G374*12</f>
        <v>585580.26315789472</v>
      </c>
    </row>
    <row r="375" spans="1:8" x14ac:dyDescent="0.25">
      <c r="A375" s="38"/>
      <c r="B375" s="49" t="s">
        <v>50</v>
      </c>
      <c r="C375" s="49"/>
      <c r="D375" s="66">
        <f>+H354</f>
        <v>260.2578947368421</v>
      </c>
      <c r="E375" s="67">
        <f>(E369*D369)+(E370*D370)</f>
        <v>173340</v>
      </c>
      <c r="F375" s="73"/>
      <c r="G375" s="68"/>
      <c r="H375" s="70">
        <f>SUM(H369:H374)</f>
        <v>8365871.0542690065</v>
      </c>
    </row>
    <row r="376" spans="1:8" x14ac:dyDescent="0.25">
      <c r="A376" s="38"/>
      <c r="B376" s="49" t="s">
        <v>51</v>
      </c>
      <c r="C376" s="49"/>
      <c r="D376" s="78">
        <v>0.85</v>
      </c>
      <c r="E376" s="67">
        <f>+H353</f>
        <v>247245</v>
      </c>
      <c r="F376" s="68"/>
      <c r="G376" s="68"/>
      <c r="H376" s="70"/>
    </row>
    <row r="377" spans="1:8" x14ac:dyDescent="0.25">
      <c r="A377" s="38"/>
      <c r="B377" s="49" t="s">
        <v>52</v>
      </c>
      <c r="C377" s="49"/>
      <c r="D377" s="78">
        <v>1</v>
      </c>
      <c r="E377" s="67">
        <f>(E372*D372)+(D373*E373)</f>
        <v>0</v>
      </c>
      <c r="F377" s="68"/>
      <c r="G377" s="68"/>
      <c r="H377" s="70"/>
    </row>
    <row r="378" spans="1:8" x14ac:dyDescent="0.25">
      <c r="A378" s="38"/>
      <c r="B378" s="49"/>
      <c r="C378" s="49"/>
      <c r="D378" s="67"/>
      <c r="E378" s="68"/>
      <c r="F378" s="68"/>
      <c r="G378" s="68"/>
      <c r="H378" s="70"/>
    </row>
    <row r="379" spans="1:8" ht="18.75" x14ac:dyDescent="0.3">
      <c r="A379" s="79" t="s">
        <v>53</v>
      </c>
      <c r="B379" s="49"/>
      <c r="C379" s="49" t="str">
        <f>+C369</f>
        <v>Market Rate</v>
      </c>
      <c r="D379" s="67"/>
      <c r="E379" s="68"/>
      <c r="F379" s="68"/>
      <c r="G379" s="80">
        <v>0.05</v>
      </c>
      <c r="H379" s="70">
        <f>-G379*H369</f>
        <v>-360101.7</v>
      </c>
    </row>
    <row r="380" spans="1:8" ht="12.75" customHeight="1" x14ac:dyDescent="0.3">
      <c r="A380" s="79"/>
      <c r="B380" s="49"/>
      <c r="C380" s="49" t="str">
        <f>+C370</f>
        <v>Low Income</v>
      </c>
      <c r="D380" s="67"/>
      <c r="E380" s="68"/>
      <c r="F380" s="68"/>
      <c r="G380" s="80">
        <v>0</v>
      </c>
      <c r="H380" s="70">
        <f>-G380*H370</f>
        <v>0</v>
      </c>
    </row>
    <row r="381" spans="1:8" ht="12.75" customHeight="1" x14ac:dyDescent="0.3">
      <c r="A381" s="79"/>
      <c r="B381" s="49"/>
      <c r="C381" s="49" t="str">
        <f>+C372</f>
        <v>Market Rate Retail</v>
      </c>
      <c r="D381" s="67"/>
      <c r="E381" s="68"/>
      <c r="F381" s="68"/>
      <c r="G381" s="80">
        <v>0.1</v>
      </c>
      <c r="H381" s="70">
        <f>-G381*H372</f>
        <v>0</v>
      </c>
    </row>
    <row r="382" spans="1:8" x14ac:dyDescent="0.25">
      <c r="A382" s="38"/>
      <c r="B382" s="74"/>
      <c r="C382" s="74" t="str">
        <f>+C373</f>
        <v>Affordable Innovation</v>
      </c>
      <c r="D382" s="75"/>
      <c r="E382" s="76"/>
      <c r="F382" s="76"/>
      <c r="G382" s="81">
        <v>0.2</v>
      </c>
      <c r="H382" s="77">
        <f>-G382*H373</f>
        <v>0</v>
      </c>
    </row>
    <row r="383" spans="1:8" x14ac:dyDescent="0.25">
      <c r="A383" s="38"/>
      <c r="B383" s="49" t="s">
        <v>54</v>
      </c>
      <c r="C383" s="49"/>
      <c r="D383" s="67"/>
      <c r="E383" s="68"/>
      <c r="F383" s="68"/>
      <c r="G383" s="80"/>
      <c r="H383" s="70">
        <f>SUM(H379:H382)</f>
        <v>-360101.7</v>
      </c>
    </row>
    <row r="384" spans="1:8" s="83" customFormat="1" ht="18.75" x14ac:dyDescent="0.3">
      <c r="A384" s="82"/>
      <c r="C384" s="45"/>
      <c r="D384" s="49"/>
      <c r="E384" s="49"/>
      <c r="F384" s="84"/>
      <c r="G384" s="85"/>
      <c r="H384" s="70"/>
    </row>
    <row r="385" spans="1:11" ht="18.75" x14ac:dyDescent="0.3">
      <c r="A385" s="79" t="s">
        <v>55</v>
      </c>
      <c r="B385" s="49"/>
      <c r="C385" s="49"/>
      <c r="D385" s="67"/>
      <c r="E385" s="68"/>
      <c r="F385" s="68"/>
      <c r="G385" s="68"/>
      <c r="H385" s="70">
        <f>+H375+H383</f>
        <v>8005769.3542690063</v>
      </c>
      <c r="I385" s="1"/>
      <c r="J385" s="1"/>
      <c r="K385" s="1"/>
    </row>
    <row r="386" spans="1:11" x14ac:dyDescent="0.25">
      <c r="A386" s="38"/>
      <c r="B386" s="49"/>
      <c r="C386" s="49"/>
      <c r="D386" s="67"/>
      <c r="E386" s="68"/>
      <c r="F386" s="68"/>
      <c r="G386" s="68"/>
      <c r="H386" s="70"/>
      <c r="I386" s="1"/>
      <c r="J386" s="1"/>
      <c r="K386" s="1"/>
    </row>
    <row r="387" spans="1:11" ht="18.75" x14ac:dyDescent="0.3">
      <c r="A387" s="79" t="s">
        <v>56</v>
      </c>
      <c r="B387" s="49"/>
      <c r="C387" s="49"/>
      <c r="D387" s="49"/>
      <c r="E387" s="49"/>
      <c r="F387" s="49"/>
      <c r="G387" s="49"/>
      <c r="H387" s="70"/>
      <c r="I387" s="1"/>
      <c r="J387" s="1"/>
      <c r="K387" s="1"/>
    </row>
    <row r="388" spans="1:11" x14ac:dyDescent="0.25">
      <c r="A388" s="38"/>
      <c r="B388" s="49" t="s">
        <v>57</v>
      </c>
      <c r="C388" s="49" t="s">
        <v>58</v>
      </c>
      <c r="D388" s="49"/>
      <c r="E388" s="49"/>
      <c r="F388" s="68">
        <v>7500</v>
      </c>
      <c r="G388" s="68" t="s">
        <v>59</v>
      </c>
      <c r="H388" s="70">
        <f>-F388*D375</f>
        <v>-1951934.2105263157</v>
      </c>
      <c r="I388" s="1"/>
      <c r="J388" s="1"/>
      <c r="K388" s="1"/>
    </row>
    <row r="389" spans="1:11" x14ac:dyDescent="0.25">
      <c r="A389" s="38"/>
      <c r="B389" s="49"/>
      <c r="C389" s="49" t="s">
        <v>60</v>
      </c>
      <c r="D389" s="78">
        <v>7.0000000000000007E-2</v>
      </c>
      <c r="E389" s="49" t="s">
        <v>61</v>
      </c>
      <c r="F389" s="68">
        <f>ROUND(-H389/D375,-2)</f>
        <v>2100</v>
      </c>
      <c r="G389" s="68" t="s">
        <v>59</v>
      </c>
      <c r="H389" s="70">
        <f>(H369+H370+H374)*-D389</f>
        <v>-555280.92082105274</v>
      </c>
      <c r="I389" s="1"/>
      <c r="J389" s="1"/>
      <c r="K389" s="1"/>
    </row>
    <row r="390" spans="1:11" x14ac:dyDescent="0.25">
      <c r="A390" s="38"/>
      <c r="B390" s="49"/>
      <c r="C390" s="49" t="s">
        <v>62</v>
      </c>
      <c r="D390" s="80">
        <v>2.5000000000000001E-2</v>
      </c>
      <c r="E390" s="49" t="s">
        <v>63</v>
      </c>
      <c r="F390" s="68">
        <f>-H390/D375</f>
        <v>723.8930601528848</v>
      </c>
      <c r="G390" s="68" t="s">
        <v>59</v>
      </c>
      <c r="H390" s="70">
        <f>-D390*((H369+H370+H374)*(1-G379))</f>
        <v>-188398.88385000001</v>
      </c>
      <c r="I390" s="1"/>
      <c r="J390" s="1"/>
      <c r="K390" s="1"/>
    </row>
    <row r="391" spans="1:11" x14ac:dyDescent="0.25">
      <c r="A391" s="38"/>
      <c r="B391" s="49"/>
      <c r="C391" s="49" t="s">
        <v>64</v>
      </c>
      <c r="D391" s="49"/>
      <c r="E391" s="49"/>
      <c r="F391" s="68">
        <v>250</v>
      </c>
      <c r="G391" s="68" t="s">
        <v>59</v>
      </c>
      <c r="H391" s="70">
        <f>-F391*D375</f>
        <v>-65064.473684210527</v>
      </c>
      <c r="I391" s="1"/>
      <c r="J391" s="1"/>
      <c r="K391" s="1"/>
    </row>
    <row r="392" spans="1:11" x14ac:dyDescent="0.25">
      <c r="A392" s="38"/>
      <c r="B392" s="74" t="s">
        <v>46</v>
      </c>
      <c r="C392" s="86" t="s">
        <v>65</v>
      </c>
      <c r="D392" s="74"/>
      <c r="E392" s="74"/>
      <c r="F392" s="87">
        <v>0.02</v>
      </c>
      <c r="G392" s="74" t="s">
        <v>66</v>
      </c>
      <c r="H392" s="77">
        <f>-F392*(H372+H373)</f>
        <v>0</v>
      </c>
      <c r="I392" s="1"/>
      <c r="J392" s="1"/>
      <c r="K392" s="1"/>
    </row>
    <row r="393" spans="1:11" x14ac:dyDescent="0.25">
      <c r="A393" s="38"/>
      <c r="B393" s="49" t="s">
        <v>67</v>
      </c>
      <c r="C393" s="49"/>
      <c r="D393" s="78">
        <f>-H393/H385</f>
        <v>0.34483612588832219</v>
      </c>
      <c r="E393" s="68" t="s">
        <v>68</v>
      </c>
      <c r="F393" s="68">
        <f>-H393/D375</f>
        <v>10607.472605866649</v>
      </c>
      <c r="G393" s="68" t="s">
        <v>59</v>
      </c>
      <c r="H393" s="70">
        <f>SUM(H388:H392)</f>
        <v>-2760678.4888815787</v>
      </c>
      <c r="I393" s="1"/>
      <c r="J393" s="1"/>
      <c r="K393" s="1"/>
    </row>
    <row r="394" spans="1:11" ht="15.75" thickBot="1" x14ac:dyDescent="0.3">
      <c r="A394" s="38"/>
      <c r="B394" s="49"/>
      <c r="C394" s="49"/>
      <c r="D394" s="49"/>
      <c r="E394" s="32"/>
      <c r="F394" s="49"/>
      <c r="G394" s="49"/>
      <c r="H394" s="70"/>
      <c r="I394" s="1"/>
      <c r="J394" s="1"/>
      <c r="K394" s="1"/>
    </row>
    <row r="395" spans="1:11" ht="18.75" x14ac:dyDescent="0.3">
      <c r="A395" s="79" t="s">
        <v>69</v>
      </c>
      <c r="B395" s="49"/>
      <c r="C395" s="49"/>
      <c r="D395" s="78">
        <f>+H395/H385</f>
        <v>0.65516387411167787</v>
      </c>
      <c r="E395" s="68" t="s">
        <v>68</v>
      </c>
      <c r="F395" s="68">
        <f>+H395/D375</f>
        <v>20153.436154899213</v>
      </c>
      <c r="G395" s="68" t="s">
        <v>59</v>
      </c>
      <c r="H395" s="70">
        <f>+H385+H393</f>
        <v>5245090.8653874276</v>
      </c>
      <c r="I395" s="1"/>
      <c r="J395" s="88">
        <f>+H395/1.25</f>
        <v>4196072.6923099421</v>
      </c>
      <c r="K395" s="89" t="s">
        <v>70</v>
      </c>
    </row>
    <row r="396" spans="1:11" x14ac:dyDescent="0.25">
      <c r="A396" s="38"/>
      <c r="B396" s="49"/>
      <c r="C396" s="49"/>
      <c r="D396" s="49"/>
      <c r="E396" s="49"/>
      <c r="F396" s="49"/>
      <c r="G396" s="49"/>
      <c r="H396" s="70"/>
      <c r="I396" s="1"/>
      <c r="J396" s="90">
        <f>-J395/(PMT(0.04/12,30*12,1)*12)</f>
        <v>73242882.597267017</v>
      </c>
      <c r="K396" s="91" t="s">
        <v>71</v>
      </c>
    </row>
    <row r="397" spans="1:11" ht="18.75" x14ac:dyDescent="0.3">
      <c r="A397" s="79" t="s">
        <v>72</v>
      </c>
      <c r="B397" s="49"/>
      <c r="C397" s="49"/>
      <c r="D397" s="49"/>
      <c r="E397" s="49"/>
      <c r="F397" s="49"/>
      <c r="G397" s="49"/>
      <c r="H397" s="70"/>
      <c r="I397" s="1"/>
      <c r="J397" s="92">
        <f>+H411-J396</f>
        <v>12657117.402732983</v>
      </c>
      <c r="K397" s="91" t="s">
        <v>73</v>
      </c>
    </row>
    <row r="398" spans="1:11" x14ac:dyDescent="0.25">
      <c r="A398" s="38"/>
      <c r="B398" s="49" t="s">
        <v>74</v>
      </c>
      <c r="C398" s="49"/>
      <c r="D398" s="49"/>
      <c r="E398" s="93" t="s">
        <v>75</v>
      </c>
      <c r="F398" s="94">
        <v>0.05</v>
      </c>
      <c r="G398" s="49" t="s">
        <v>76</v>
      </c>
      <c r="H398" s="70">
        <f>+H395/F398</f>
        <v>104901817.30774854</v>
      </c>
      <c r="I398" s="1"/>
      <c r="J398" s="92">
        <f>+H395-J395</f>
        <v>1049018.1730774855</v>
      </c>
      <c r="K398" s="91" t="s">
        <v>77</v>
      </c>
    </row>
    <row r="399" spans="1:11" ht="15.75" thickBot="1" x14ac:dyDescent="0.3">
      <c r="A399" s="38"/>
      <c r="B399" s="49"/>
      <c r="C399" s="49"/>
      <c r="D399" s="49"/>
      <c r="E399" s="49"/>
      <c r="F399" s="49"/>
      <c r="G399" s="93" t="s">
        <v>78</v>
      </c>
      <c r="H399" s="70">
        <f>ROUND(H398,-5)</f>
        <v>104900000</v>
      </c>
      <c r="I399" s="1"/>
      <c r="J399" s="95">
        <f>+J398/J397</f>
        <v>8.2879706310615142E-2</v>
      </c>
      <c r="K399" s="96" t="s">
        <v>79</v>
      </c>
    </row>
    <row r="400" spans="1:11" x14ac:dyDescent="0.25">
      <c r="A400" s="38"/>
      <c r="B400" s="49"/>
      <c r="C400" s="49"/>
      <c r="D400" s="49"/>
      <c r="E400" s="49"/>
      <c r="F400" s="49"/>
      <c r="G400" s="93" t="s">
        <v>80</v>
      </c>
      <c r="H400" s="70">
        <f>+H399/E376</f>
        <v>424.27551618839613</v>
      </c>
      <c r="I400" s="1"/>
      <c r="J400" s="1"/>
      <c r="K400" s="1"/>
    </row>
    <row r="401" spans="1:11" x14ac:dyDescent="0.25">
      <c r="A401" s="38"/>
      <c r="B401" s="49"/>
      <c r="C401" s="49"/>
      <c r="D401" s="49"/>
      <c r="E401" s="49"/>
      <c r="F401" s="49"/>
      <c r="G401" s="93" t="s">
        <v>59</v>
      </c>
      <c r="H401" s="70">
        <f>+H399/D375</f>
        <v>403061.74037897633</v>
      </c>
      <c r="I401" s="1"/>
      <c r="J401" s="1">
        <v>646091.59779614327</v>
      </c>
      <c r="K401" s="2">
        <f>+J401-H401</f>
        <v>243029.85741716693</v>
      </c>
    </row>
    <row r="402" spans="1:11" x14ac:dyDescent="0.25">
      <c r="A402" s="97"/>
      <c r="B402" s="74"/>
      <c r="C402" s="74"/>
      <c r="D402" s="74"/>
      <c r="E402" s="74"/>
      <c r="F402" s="74"/>
      <c r="G402" s="98"/>
      <c r="H402" s="77"/>
      <c r="I402" s="1"/>
      <c r="J402" s="1"/>
      <c r="K402" s="1"/>
    </row>
    <row r="403" spans="1:11" x14ac:dyDescent="0.25">
      <c r="A403" s="38"/>
      <c r="B403" s="49"/>
      <c r="C403" s="49"/>
      <c r="D403" s="49"/>
      <c r="E403" s="49"/>
      <c r="F403" s="94"/>
      <c r="G403" s="49"/>
      <c r="H403" s="70"/>
      <c r="I403" s="1"/>
      <c r="J403" s="1"/>
      <c r="K403" s="1"/>
    </row>
    <row r="404" spans="1:11" ht="19.5" thickBot="1" x14ac:dyDescent="0.35">
      <c r="A404" s="79" t="s">
        <v>81</v>
      </c>
      <c r="B404" s="49"/>
      <c r="C404" s="49"/>
      <c r="D404" s="49"/>
      <c r="E404" s="49"/>
      <c r="F404" s="49"/>
      <c r="G404" s="49"/>
      <c r="H404" s="70"/>
      <c r="I404" s="1"/>
      <c r="J404" s="1"/>
      <c r="K404" s="1"/>
    </row>
    <row r="405" spans="1:11" ht="19.5" thickBot="1" x14ac:dyDescent="0.35">
      <c r="A405" s="79"/>
      <c r="B405" s="49" t="s">
        <v>82</v>
      </c>
      <c r="C405" s="49"/>
      <c r="D405" s="68">
        <f>+H405/D375</f>
        <v>10449.250743189954</v>
      </c>
      <c r="E405" s="49" t="s">
        <v>59</v>
      </c>
      <c r="F405" s="73">
        <v>70</v>
      </c>
      <c r="G405" s="49" t="s">
        <v>83</v>
      </c>
      <c r="H405" s="99">
        <f>F405*H351</f>
        <v>2719500</v>
      </c>
      <c r="I405" s="1"/>
      <c r="J405" s="1"/>
      <c r="K405" s="1"/>
    </row>
    <row r="406" spans="1:11" ht="12.75" customHeight="1" x14ac:dyDescent="0.3">
      <c r="A406" s="79"/>
      <c r="B406" s="49" t="s">
        <v>84</v>
      </c>
      <c r="C406" s="49"/>
      <c r="D406" s="68">
        <v>300000</v>
      </c>
      <c r="E406" s="49" t="s">
        <v>59</v>
      </c>
      <c r="F406" s="67">
        <f>H361</f>
        <v>0</v>
      </c>
      <c r="G406" s="49" t="s">
        <v>35</v>
      </c>
      <c r="H406" s="70">
        <f>+F406*D406</f>
        <v>0</v>
      </c>
      <c r="I406" s="1"/>
      <c r="J406" s="1"/>
      <c r="K406" s="1"/>
    </row>
    <row r="407" spans="1:11" x14ac:dyDescent="0.25">
      <c r="A407" s="38"/>
      <c r="B407" s="49" t="s">
        <v>57</v>
      </c>
      <c r="C407" s="49"/>
      <c r="D407" s="49"/>
      <c r="E407" s="49"/>
      <c r="F407" s="73">
        <f>280*0.92</f>
        <v>257.60000000000002</v>
      </c>
      <c r="G407" s="49" t="s">
        <v>85</v>
      </c>
      <c r="H407" s="70">
        <f>+F407*E376</f>
        <v>63690312.000000007</v>
      </c>
      <c r="I407" s="1"/>
      <c r="J407" s="1"/>
      <c r="K407" s="1"/>
    </row>
    <row r="408" spans="1:11" x14ac:dyDescent="0.25">
      <c r="A408" s="38"/>
      <c r="B408" s="49" t="s">
        <v>46</v>
      </c>
      <c r="C408" s="49"/>
      <c r="D408" s="49"/>
      <c r="E408" s="49"/>
      <c r="F408" s="73">
        <v>280</v>
      </c>
      <c r="G408" s="49" t="s">
        <v>85</v>
      </c>
      <c r="H408" s="70">
        <f>F408*(E377)</f>
        <v>0</v>
      </c>
      <c r="I408" s="1"/>
      <c r="J408" s="1"/>
      <c r="K408" s="1"/>
    </row>
    <row r="409" spans="1:11" x14ac:dyDescent="0.25">
      <c r="A409" s="38"/>
      <c r="B409" s="49" t="s">
        <v>86</v>
      </c>
      <c r="C409" s="49" t="s">
        <v>87</v>
      </c>
      <c r="D409" s="67">
        <f>+D374</f>
        <v>195.19342105263158</v>
      </c>
      <c r="E409" s="32" t="s">
        <v>88</v>
      </c>
      <c r="F409" s="68">
        <v>35000</v>
      </c>
      <c r="G409" s="49" t="s">
        <v>89</v>
      </c>
      <c r="H409" s="70">
        <f>+F409*D374</f>
        <v>6831769.7368421052</v>
      </c>
      <c r="I409" s="1"/>
      <c r="J409" s="1"/>
      <c r="K409" s="1"/>
    </row>
    <row r="410" spans="1:11" x14ac:dyDescent="0.25">
      <c r="A410" s="38"/>
      <c r="B410" s="74" t="s">
        <v>90</v>
      </c>
      <c r="C410" s="74"/>
      <c r="D410" s="74"/>
      <c r="E410" s="74"/>
      <c r="F410" s="87">
        <v>0.2</v>
      </c>
      <c r="G410" s="74" t="s">
        <v>91</v>
      </c>
      <c r="H410" s="77">
        <f>ROUND((H407+H408)*F410,-5)</f>
        <v>12700000</v>
      </c>
      <c r="I410" s="1"/>
      <c r="J410" s="1"/>
      <c r="K410" s="1"/>
    </row>
    <row r="411" spans="1:11" x14ac:dyDescent="0.25">
      <c r="A411" s="38"/>
      <c r="B411" s="49"/>
      <c r="C411" s="49"/>
      <c r="D411" s="49"/>
      <c r="E411" s="49"/>
      <c r="F411" s="49"/>
      <c r="G411" s="93" t="s">
        <v>78</v>
      </c>
      <c r="H411" s="70">
        <f>ROUND(SUM(H405:H410),-5)</f>
        <v>85900000</v>
      </c>
      <c r="I411" s="1"/>
      <c r="J411" s="1"/>
      <c r="K411" s="1"/>
    </row>
    <row r="412" spans="1:11" x14ac:dyDescent="0.25">
      <c r="A412" s="38"/>
      <c r="B412" s="49"/>
      <c r="C412" s="49"/>
      <c r="D412" s="49"/>
      <c r="E412" s="49"/>
      <c r="F412" s="49"/>
      <c r="G412" s="93" t="s">
        <v>80</v>
      </c>
      <c r="H412" s="70">
        <f>+H411/(E376+E377)</f>
        <v>347.42866387591255</v>
      </c>
      <c r="I412" s="1"/>
      <c r="J412" s="1"/>
      <c r="K412" s="1"/>
    </row>
    <row r="413" spans="1:11" x14ac:dyDescent="0.25">
      <c r="A413" s="38"/>
      <c r="B413" s="49"/>
      <c r="C413" s="49"/>
      <c r="D413" s="49"/>
      <c r="E413" s="49"/>
      <c r="F413" s="49"/>
      <c r="G413" s="93" t="s">
        <v>59</v>
      </c>
      <c r="H413" s="70">
        <f>+H411/H354</f>
        <v>330057.23068211693</v>
      </c>
      <c r="I413" s="1"/>
      <c r="J413" s="1">
        <v>486340.6795224977</v>
      </c>
      <c r="K413" s="1"/>
    </row>
    <row r="414" spans="1:11" x14ac:dyDescent="0.25">
      <c r="A414" s="38"/>
      <c r="B414" s="49"/>
      <c r="C414" s="49"/>
      <c r="D414" s="49"/>
      <c r="E414" s="49"/>
      <c r="F414" s="49"/>
      <c r="G414" s="49"/>
      <c r="H414" s="70"/>
      <c r="I414" s="1"/>
      <c r="J414" s="1"/>
      <c r="K414" s="1"/>
    </row>
    <row r="415" spans="1:11" ht="18.75" x14ac:dyDescent="0.3">
      <c r="A415" s="100" t="s">
        <v>92</v>
      </c>
      <c r="B415" s="49"/>
      <c r="C415" s="49"/>
      <c r="D415" s="49"/>
      <c r="E415" s="93" t="s">
        <v>93</v>
      </c>
      <c r="F415" s="80">
        <f>+H395/H411</f>
        <v>6.1060429166326279E-2</v>
      </c>
      <c r="G415" s="93" t="s">
        <v>94</v>
      </c>
      <c r="H415" s="70">
        <f>+H399-H411</f>
        <v>19000000</v>
      </c>
      <c r="I415" s="1"/>
      <c r="J415" s="1"/>
      <c r="K415" s="1"/>
    </row>
    <row r="416" spans="1:11" ht="15.75" thickBot="1" x14ac:dyDescent="0.3">
      <c r="A416" s="101"/>
      <c r="B416" s="102"/>
      <c r="C416" s="102"/>
      <c r="D416" s="103"/>
      <c r="E416" s="103"/>
      <c r="F416" s="103"/>
      <c r="G416" s="102"/>
      <c r="H416" s="104"/>
      <c r="I416" s="1"/>
      <c r="J416" s="1"/>
      <c r="K416" s="1"/>
    </row>
    <row r="417" spans="1:10" ht="24.95" customHeight="1" x14ac:dyDescent="0.25">
      <c r="A417" s="32"/>
      <c r="B417" s="49"/>
      <c r="C417" s="49"/>
      <c r="D417" s="32"/>
      <c r="E417" s="32"/>
      <c r="F417" s="32"/>
      <c r="G417" s="49"/>
      <c r="H417" s="114"/>
      <c r="I417" s="1"/>
      <c r="J417" s="1"/>
    </row>
    <row r="418" spans="1:10" ht="18.95" customHeight="1" thickBot="1" x14ac:dyDescent="0.3">
      <c r="A418" s="115"/>
      <c r="B418" s="115"/>
      <c r="C418" s="115"/>
      <c r="D418" s="115"/>
      <c r="E418" s="115"/>
      <c r="F418" s="115"/>
      <c r="G418" s="115"/>
      <c r="H418" s="116"/>
      <c r="I418" s="1"/>
      <c r="J418" s="1"/>
    </row>
    <row r="419" spans="1:10" ht="15.75" x14ac:dyDescent="0.25">
      <c r="A419" s="1"/>
      <c r="B419" s="117" t="s">
        <v>107</v>
      </c>
      <c r="C419" s="118"/>
      <c r="D419" s="118"/>
      <c r="E419" s="118"/>
      <c r="F419" s="118"/>
      <c r="G419" s="118"/>
      <c r="H419" s="119">
        <f>H82+H150+H218+H286+H354+H4+H11</f>
        <v>2074.5</v>
      </c>
      <c r="I419" s="1"/>
      <c r="J419" s="120">
        <f>J4+J82+M354</f>
        <v>2074.5</v>
      </c>
    </row>
    <row r="420" spans="1:10" ht="15.75" x14ac:dyDescent="0.25">
      <c r="A420" s="1"/>
      <c r="B420" s="117" t="s">
        <v>108</v>
      </c>
      <c r="C420" s="118"/>
      <c r="D420" s="118"/>
      <c r="E420" s="118"/>
      <c r="F420" s="118"/>
      <c r="G420" s="118"/>
      <c r="H420" s="119">
        <f>H419-H423</f>
        <v>1713.2507368421052</v>
      </c>
      <c r="I420" s="1"/>
      <c r="J420" s="121"/>
    </row>
    <row r="421" spans="1:10" ht="15.75" x14ac:dyDescent="0.25">
      <c r="A421" s="1"/>
      <c r="B421" s="117" t="s">
        <v>109</v>
      </c>
      <c r="C421" s="118"/>
      <c r="D421" s="118"/>
      <c r="E421" s="118"/>
      <c r="F421" s="118"/>
      <c r="G421" s="118"/>
      <c r="H421" s="119">
        <f>H84+H152+H220+H288+H356+H13</f>
        <v>160.24926315789475</v>
      </c>
      <c r="I421" s="1"/>
      <c r="J421" s="122">
        <f>J84+M356</f>
        <v>160.24926315789475</v>
      </c>
    </row>
    <row r="422" spans="1:10" ht="15.75" x14ac:dyDescent="0.25">
      <c r="A422" s="1"/>
      <c r="B422" s="117" t="s">
        <v>110</v>
      </c>
      <c r="C422" s="118"/>
      <c r="D422" s="118"/>
      <c r="E422" s="118"/>
      <c r="F422" s="118"/>
      <c r="G422" s="118"/>
      <c r="H422" s="119">
        <f>H85+H153+H221+H289+H357+H14</f>
        <v>201</v>
      </c>
      <c r="I422" s="1"/>
      <c r="J422" s="122">
        <f>J85+M357</f>
        <v>201</v>
      </c>
    </row>
    <row r="423" spans="1:10" ht="16.5" thickBot="1" x14ac:dyDescent="0.3">
      <c r="A423" s="1"/>
      <c r="B423" s="117" t="s">
        <v>111</v>
      </c>
      <c r="C423" s="118"/>
      <c r="D423" s="118"/>
      <c r="E423" s="118"/>
      <c r="F423" s="118"/>
      <c r="G423" s="118"/>
      <c r="H423" s="119">
        <f>H421+H422</f>
        <v>361.24926315789475</v>
      </c>
      <c r="I423" s="1"/>
      <c r="J423" s="123">
        <f>J86+M358</f>
        <v>361.24926315789475</v>
      </c>
    </row>
    <row r="424" spans="1:10" ht="15.75" x14ac:dyDescent="0.25">
      <c r="A424" s="1"/>
      <c r="B424" s="117" t="s">
        <v>141</v>
      </c>
      <c r="C424" s="118"/>
      <c r="D424" s="118"/>
      <c r="E424" s="118"/>
      <c r="F424" s="118"/>
      <c r="G424" s="118"/>
      <c r="H424" s="124">
        <f>(H154+H222+H290+H358)/(H150+H218+H286+H354)</f>
        <v>0.19445917196298063</v>
      </c>
      <c r="I424" s="1"/>
      <c r="J424" s="149"/>
    </row>
    <row r="425" spans="1:10" ht="15.75" x14ac:dyDescent="0.25">
      <c r="A425" s="1"/>
      <c r="B425" s="117" t="s">
        <v>142</v>
      </c>
      <c r="C425" s="118"/>
      <c r="D425" s="118"/>
      <c r="E425" s="118"/>
      <c r="F425" s="118"/>
      <c r="G425" s="118"/>
      <c r="H425" s="124">
        <f>H423/H419</f>
        <v>0.17413799139932259</v>
      </c>
      <c r="I425" s="1"/>
      <c r="J425" s="1"/>
    </row>
    <row r="426" spans="1:10" ht="15.75" x14ac:dyDescent="0.25">
      <c r="A426" s="1"/>
      <c r="B426" s="117" t="s">
        <v>112</v>
      </c>
      <c r="C426" s="118"/>
      <c r="D426" s="118"/>
      <c r="E426" s="118"/>
      <c r="F426" s="118"/>
      <c r="G426" s="118"/>
      <c r="H426" s="119">
        <f>H89+H157+H225+H293+H361+H18</f>
        <v>0</v>
      </c>
      <c r="I426" s="1"/>
      <c r="J426" s="1"/>
    </row>
    <row r="427" spans="1:10" ht="15.75" x14ac:dyDescent="0.25">
      <c r="A427" s="1"/>
      <c r="B427" s="117" t="s">
        <v>113</v>
      </c>
      <c r="C427" s="118"/>
      <c r="D427" s="118"/>
      <c r="E427" s="118"/>
      <c r="F427" s="118"/>
      <c r="G427" s="118"/>
      <c r="H427" s="125">
        <f>H134+H202+H270+H338+H406+H64</f>
        <v>0</v>
      </c>
      <c r="I427" s="1"/>
      <c r="J427" s="1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1"/>
      <c r="J432" s="1"/>
    </row>
    <row r="433" spans="1:8" s="129" customFormat="1" ht="12.95" customHeight="1" x14ac:dyDescent="0.25">
      <c r="A433" s="126"/>
      <c r="B433" s="127" t="s">
        <v>114</v>
      </c>
      <c r="C433" s="128" t="str">
        <f>A9</f>
        <v>Base Model &lt;2 FAR</v>
      </c>
      <c r="D433" s="126"/>
      <c r="E433" s="126"/>
      <c r="H433" s="130"/>
    </row>
    <row r="434" spans="1:8" ht="10.5" customHeight="1" x14ac:dyDescent="0.25">
      <c r="A434" s="131"/>
      <c r="B434" s="131" t="s">
        <v>115</v>
      </c>
      <c r="C434" s="132">
        <f>H8</f>
        <v>157010</v>
      </c>
      <c r="D434" s="131"/>
      <c r="E434" s="131"/>
    </row>
    <row r="435" spans="1:8" ht="10.5" customHeight="1" x14ac:dyDescent="0.25">
      <c r="A435" s="131"/>
      <c r="B435" s="131" t="s">
        <v>116</v>
      </c>
      <c r="C435" s="132">
        <f>H10</f>
        <v>228360</v>
      </c>
      <c r="D435" s="131"/>
      <c r="E435" s="131"/>
    </row>
    <row r="436" spans="1:8" ht="10.5" customHeight="1" x14ac:dyDescent="0.25">
      <c r="A436" s="131"/>
      <c r="B436" s="131" t="s">
        <v>117</v>
      </c>
      <c r="C436" s="132">
        <f>G11</f>
        <v>950</v>
      </c>
      <c r="D436" s="131"/>
      <c r="E436" s="131"/>
    </row>
    <row r="437" spans="1:8" ht="10.5" customHeight="1" x14ac:dyDescent="0.25">
      <c r="A437" s="131"/>
      <c r="B437" s="131" t="s">
        <v>107</v>
      </c>
      <c r="C437" s="132">
        <f>H11</f>
        <v>240.37894736842105</v>
      </c>
      <c r="D437" s="131"/>
      <c r="E437" s="131"/>
    </row>
    <row r="438" spans="1:8" ht="10.5" customHeight="1" x14ac:dyDescent="0.25">
      <c r="A438" s="131"/>
      <c r="B438" s="131" t="s">
        <v>118</v>
      </c>
      <c r="C438" s="132">
        <f>H13</f>
        <v>31.249263157894738</v>
      </c>
      <c r="D438" s="131"/>
      <c r="E438" s="131"/>
    </row>
    <row r="439" spans="1:8" ht="10.5" customHeight="1" x14ac:dyDescent="0.25">
      <c r="A439" s="131"/>
      <c r="B439" s="131" t="s">
        <v>119</v>
      </c>
      <c r="C439" s="132">
        <f>H14</f>
        <v>0</v>
      </c>
      <c r="D439" s="131"/>
      <c r="E439" s="131"/>
    </row>
    <row r="440" spans="1:8" ht="10.5" customHeight="1" x14ac:dyDescent="0.25">
      <c r="A440" s="131"/>
      <c r="B440" s="131" t="s">
        <v>120</v>
      </c>
      <c r="C440" s="132">
        <f>H18</f>
        <v>0</v>
      </c>
      <c r="D440" s="131"/>
      <c r="E440" s="131"/>
    </row>
    <row r="441" spans="1:8" ht="10.5" customHeight="1" x14ac:dyDescent="0.25">
      <c r="A441" s="131"/>
      <c r="B441" s="131"/>
      <c r="C441" s="132"/>
      <c r="D441" s="131"/>
      <c r="E441" s="131"/>
    </row>
    <row r="442" spans="1:8" ht="10.5" customHeight="1" x14ac:dyDescent="0.25">
      <c r="A442" s="131"/>
      <c r="B442" s="133" t="s">
        <v>121</v>
      </c>
      <c r="C442" s="132"/>
      <c r="D442" s="131"/>
      <c r="E442" s="131"/>
    </row>
    <row r="443" spans="1:8" ht="10.5" customHeight="1" x14ac:dyDescent="0.25">
      <c r="A443" s="131"/>
      <c r="B443" s="131" t="s">
        <v>122</v>
      </c>
      <c r="C443" s="134">
        <f>H28</f>
        <v>411837.78906947369</v>
      </c>
      <c r="D443" s="135" t="s">
        <v>123</v>
      </c>
      <c r="E443" s="134">
        <v>1098.26</v>
      </c>
    </row>
    <row r="444" spans="1:8" ht="10.5" customHeight="1" x14ac:dyDescent="0.25">
      <c r="A444" s="131"/>
      <c r="B444" s="131" t="s">
        <v>124</v>
      </c>
      <c r="C444" s="134">
        <f>H29</f>
        <v>0</v>
      </c>
      <c r="D444" s="135" t="s">
        <v>123</v>
      </c>
      <c r="E444" s="134">
        <v>784.93925925925919</v>
      </c>
    </row>
    <row r="445" spans="1:8" ht="10.5" customHeight="1" x14ac:dyDescent="0.25">
      <c r="A445" s="131"/>
      <c r="B445" s="131" t="s">
        <v>125</v>
      </c>
      <c r="C445" s="136">
        <f>H27</f>
        <v>7414902</v>
      </c>
      <c r="D445" s="135" t="s">
        <v>123</v>
      </c>
      <c r="E445" s="134">
        <v>2956.5</v>
      </c>
    </row>
    <row r="446" spans="1:8" ht="10.5" customHeight="1" x14ac:dyDescent="0.25">
      <c r="A446" s="131"/>
      <c r="B446" s="131" t="s">
        <v>126</v>
      </c>
      <c r="C446" s="136">
        <f>H32</f>
        <v>540852.63157894742</v>
      </c>
      <c r="D446" s="135"/>
      <c r="E446" s="134"/>
    </row>
    <row r="447" spans="1:8" ht="10.5" customHeight="1" x14ac:dyDescent="0.25">
      <c r="A447" s="131"/>
      <c r="B447" s="131" t="s">
        <v>127</v>
      </c>
      <c r="C447" s="136">
        <f>H41</f>
        <v>-370745.10000000003</v>
      </c>
      <c r="D447" s="135"/>
      <c r="E447" s="134"/>
    </row>
    <row r="448" spans="1:8" ht="10.5" customHeight="1" x14ac:dyDescent="0.25">
      <c r="A448" s="131"/>
      <c r="B448" s="131" t="s">
        <v>128</v>
      </c>
      <c r="C448" s="136">
        <f>H51</f>
        <v>-2647398.6315410528</v>
      </c>
      <c r="D448" s="131"/>
      <c r="E448" s="131"/>
    </row>
    <row r="449" spans="1:5" ht="10.5" customHeight="1" x14ac:dyDescent="0.25">
      <c r="A449" s="131"/>
      <c r="B449" s="131" t="s">
        <v>129</v>
      </c>
      <c r="C449" s="134">
        <f>SUM(C443:C448)</f>
        <v>5349448.6891073687</v>
      </c>
      <c r="D449" s="131"/>
      <c r="E449" s="131"/>
    </row>
    <row r="450" spans="1:5" ht="10.5" customHeight="1" x14ac:dyDescent="0.25">
      <c r="A450" s="131"/>
      <c r="B450" s="131"/>
      <c r="C450" s="131"/>
      <c r="D450" s="131"/>
      <c r="E450" s="131"/>
    </row>
    <row r="451" spans="1:5" ht="10.5" customHeight="1" x14ac:dyDescent="0.25">
      <c r="A451" s="131"/>
      <c r="B451" s="133" t="s">
        <v>130</v>
      </c>
      <c r="C451" s="131"/>
      <c r="D451" s="131"/>
      <c r="E451" s="131"/>
    </row>
    <row r="452" spans="1:5" ht="10.5" customHeight="1" x14ac:dyDescent="0.25">
      <c r="A452" s="131"/>
      <c r="B452" s="131" t="s">
        <v>131</v>
      </c>
      <c r="C452" s="136">
        <f>H65+H67</f>
        <v>65135483.368421063</v>
      </c>
      <c r="D452" s="131"/>
      <c r="E452" s="131"/>
    </row>
    <row r="453" spans="1:5" ht="10.5" customHeight="1" x14ac:dyDescent="0.25">
      <c r="A453" s="131"/>
      <c r="B453" s="131" t="s">
        <v>132</v>
      </c>
      <c r="C453" s="136">
        <f>H63</f>
        <v>10990700</v>
      </c>
      <c r="D453" s="131"/>
      <c r="E453" s="131"/>
    </row>
    <row r="454" spans="1:5" ht="10.5" customHeight="1" x14ac:dyDescent="0.25">
      <c r="A454" s="131"/>
      <c r="B454" s="131" t="s">
        <v>133</v>
      </c>
      <c r="C454" s="136">
        <f>H68</f>
        <v>11800000</v>
      </c>
      <c r="D454" s="131"/>
      <c r="E454" s="131"/>
    </row>
    <row r="455" spans="1:5" ht="10.5" customHeight="1" x14ac:dyDescent="0.25">
      <c r="A455" s="131"/>
      <c r="B455" s="131" t="s">
        <v>113</v>
      </c>
      <c r="C455" s="136">
        <f>H64</f>
        <v>0</v>
      </c>
      <c r="D455" s="131"/>
      <c r="E455" s="131"/>
    </row>
    <row r="456" spans="1:5" ht="10.5" customHeight="1" x14ac:dyDescent="0.25">
      <c r="A456" s="131"/>
      <c r="B456" s="131" t="s">
        <v>134</v>
      </c>
      <c r="C456" s="136">
        <f>SUM(C452:C455)</f>
        <v>87926183.368421063</v>
      </c>
      <c r="D456" s="135" t="s">
        <v>135</v>
      </c>
      <c r="E456" s="136">
        <f>C456/C437</f>
        <v>365781.54755648982</v>
      </c>
    </row>
    <row r="457" spans="1:5" ht="10.5" customHeight="1" x14ac:dyDescent="0.25">
      <c r="A457" s="131"/>
      <c r="B457" s="131"/>
      <c r="C457" s="131"/>
      <c r="D457" s="131"/>
      <c r="E457" s="131"/>
    </row>
    <row r="458" spans="1:5" ht="10.5" customHeight="1" x14ac:dyDescent="0.25">
      <c r="A458" s="131"/>
      <c r="B458" s="133" t="s">
        <v>136</v>
      </c>
      <c r="C458" s="137">
        <f>C449/C456</f>
        <v>6.0840223971653E-2</v>
      </c>
      <c r="D458" s="131"/>
      <c r="E458" s="131"/>
    </row>
    <row r="459" spans="1:5" ht="10.5" customHeight="1" x14ac:dyDescent="0.25">
      <c r="A459" s="131"/>
      <c r="B459" s="131"/>
      <c r="C459" s="131"/>
      <c r="D459" s="131"/>
      <c r="E459" s="131"/>
    </row>
    <row r="460" spans="1:5" ht="10.5" hidden="1" customHeight="1" x14ac:dyDescent="0.25">
      <c r="A460" s="131"/>
      <c r="B460" s="131"/>
      <c r="C460" s="131"/>
      <c r="D460" s="131"/>
      <c r="E460" s="131"/>
    </row>
    <row r="461" spans="1:5" ht="10.5" hidden="1" customHeight="1" x14ac:dyDescent="0.25">
      <c r="A461" s="131"/>
      <c r="B461" s="131"/>
      <c r="C461" s="131"/>
      <c r="D461" s="131"/>
      <c r="E461" s="131"/>
    </row>
    <row r="462" spans="1:5" ht="10.5" hidden="1" customHeight="1" x14ac:dyDescent="0.25">
      <c r="A462" s="131"/>
      <c r="B462" s="131"/>
      <c r="C462" s="131"/>
      <c r="D462" s="131"/>
      <c r="E462" s="131"/>
    </row>
    <row r="463" spans="1:5" ht="10.5" hidden="1" customHeight="1" x14ac:dyDescent="0.25">
      <c r="A463" s="131"/>
      <c r="B463" s="131"/>
      <c r="C463" s="131"/>
      <c r="D463" s="131"/>
      <c r="E463" s="131"/>
    </row>
    <row r="464" spans="1:5" ht="10.5" hidden="1" customHeight="1" x14ac:dyDescent="0.25">
      <c r="A464" s="131"/>
      <c r="B464" s="131"/>
      <c r="C464" s="131"/>
      <c r="D464" s="131"/>
      <c r="E464" s="131"/>
    </row>
    <row r="465" spans="1:5" ht="10.5" hidden="1" customHeight="1" x14ac:dyDescent="0.25">
      <c r="A465" s="131"/>
      <c r="B465" s="131"/>
      <c r="C465" s="131"/>
      <c r="D465" s="131"/>
      <c r="E465" s="131"/>
    </row>
    <row r="466" spans="1:5" ht="10.5" hidden="1" customHeight="1" x14ac:dyDescent="0.25">
      <c r="A466" s="131"/>
      <c r="B466" s="131"/>
      <c r="C466" s="131"/>
      <c r="D466" s="131"/>
      <c r="E466" s="131"/>
    </row>
    <row r="467" spans="1:5" ht="10.5" hidden="1" customHeight="1" x14ac:dyDescent="0.25">
      <c r="A467" s="131"/>
      <c r="B467" s="131"/>
      <c r="C467" s="131"/>
      <c r="D467" s="131"/>
      <c r="E467" s="131"/>
    </row>
    <row r="468" spans="1:5" ht="10.5" hidden="1" customHeight="1" x14ac:dyDescent="0.25">
      <c r="A468" s="131"/>
      <c r="B468" s="131"/>
      <c r="C468" s="131"/>
      <c r="D468" s="131"/>
      <c r="E468" s="131"/>
    </row>
    <row r="469" spans="1:5" ht="10.5" hidden="1" customHeight="1" x14ac:dyDescent="0.25">
      <c r="A469" s="131"/>
      <c r="B469" s="131"/>
      <c r="C469" s="131"/>
      <c r="D469" s="131"/>
      <c r="E469" s="131"/>
    </row>
    <row r="470" spans="1:5" ht="10.5" hidden="1" customHeight="1" x14ac:dyDescent="0.25">
      <c r="A470" s="131"/>
      <c r="B470" s="131"/>
      <c r="C470" s="131"/>
      <c r="D470" s="131"/>
      <c r="E470" s="131"/>
    </row>
    <row r="471" spans="1:5" ht="10.5" hidden="1" customHeight="1" x14ac:dyDescent="0.25">
      <c r="A471" s="131"/>
      <c r="B471" s="131"/>
      <c r="C471" s="131"/>
      <c r="D471" s="131"/>
      <c r="E471" s="131"/>
    </row>
    <row r="472" spans="1:5" ht="10.5" hidden="1" customHeight="1" x14ac:dyDescent="0.25">
      <c r="A472" s="131"/>
      <c r="B472" s="131"/>
      <c r="C472" s="131"/>
      <c r="D472" s="131"/>
      <c r="E472" s="131"/>
    </row>
    <row r="473" spans="1:5" ht="10.5" hidden="1" customHeight="1" x14ac:dyDescent="0.25">
      <c r="A473" s="131"/>
      <c r="B473" s="131"/>
      <c r="C473" s="131"/>
      <c r="D473" s="131"/>
      <c r="E473" s="131"/>
    </row>
    <row r="474" spans="1:5" ht="10.5" hidden="1" customHeight="1" x14ac:dyDescent="0.25">
      <c r="A474" s="131"/>
      <c r="B474" s="131"/>
      <c r="C474" s="131"/>
      <c r="D474" s="131"/>
      <c r="E474" s="131"/>
    </row>
    <row r="475" spans="1:5" ht="10.5" hidden="1" customHeight="1" x14ac:dyDescent="0.25">
      <c r="A475" s="131"/>
      <c r="B475" s="131"/>
      <c r="C475" s="131"/>
      <c r="D475" s="131"/>
      <c r="E475" s="131"/>
    </row>
    <row r="476" spans="1:5" ht="10.5" hidden="1" customHeight="1" x14ac:dyDescent="0.25">
      <c r="A476" s="131"/>
      <c r="B476" s="131"/>
      <c r="C476" s="131"/>
      <c r="D476" s="131"/>
      <c r="E476" s="131"/>
    </row>
    <row r="477" spans="1:5" ht="10.5" hidden="1" customHeight="1" x14ac:dyDescent="0.25">
      <c r="A477" s="131"/>
      <c r="B477" s="131"/>
      <c r="C477" s="131"/>
      <c r="D477" s="131"/>
      <c r="E477" s="131"/>
    </row>
    <row r="478" spans="1:5" ht="10.5" hidden="1" customHeight="1" x14ac:dyDescent="0.25">
      <c r="A478" s="131"/>
      <c r="B478" s="131"/>
      <c r="C478" s="131"/>
      <c r="D478" s="131"/>
      <c r="E478" s="131"/>
    </row>
    <row r="479" spans="1:5" ht="10.5" hidden="1" customHeight="1" x14ac:dyDescent="0.25">
      <c r="A479" s="131"/>
      <c r="B479" s="131"/>
      <c r="C479" s="131"/>
      <c r="D479" s="131"/>
      <c r="E479" s="131"/>
    </row>
    <row r="480" spans="1:5" ht="10.5" hidden="1" customHeight="1" x14ac:dyDescent="0.25">
      <c r="A480" s="131"/>
      <c r="B480" s="131"/>
      <c r="C480" s="131"/>
      <c r="D480" s="131"/>
      <c r="E480" s="131"/>
    </row>
    <row r="481" spans="1:5" ht="10.5" hidden="1" customHeight="1" x14ac:dyDescent="0.25">
      <c r="A481" s="131"/>
      <c r="B481" s="131"/>
      <c r="C481" s="131"/>
      <c r="D481" s="131"/>
      <c r="E481" s="131"/>
    </row>
    <row r="482" spans="1:5" ht="10.5" hidden="1" customHeight="1" x14ac:dyDescent="0.25">
      <c r="A482" s="131"/>
      <c r="B482" s="131"/>
      <c r="C482" s="131"/>
      <c r="D482" s="131"/>
      <c r="E482" s="131"/>
    </row>
    <row r="483" spans="1:5" ht="10.5" hidden="1" customHeight="1" x14ac:dyDescent="0.25">
      <c r="A483" s="131"/>
      <c r="B483" s="131"/>
      <c r="C483" s="131"/>
      <c r="D483" s="131"/>
      <c r="E483" s="131"/>
    </row>
    <row r="484" spans="1:5" ht="10.5" hidden="1" customHeight="1" x14ac:dyDescent="0.25">
      <c r="A484" s="131"/>
      <c r="B484" s="131"/>
      <c r="C484" s="131"/>
      <c r="D484" s="131"/>
      <c r="E484" s="131"/>
    </row>
    <row r="485" spans="1:5" ht="10.5" hidden="1" customHeight="1" x14ac:dyDescent="0.25">
      <c r="A485" s="131"/>
      <c r="B485" s="131"/>
      <c r="C485" s="131"/>
      <c r="D485" s="131"/>
      <c r="E485" s="131"/>
    </row>
    <row r="486" spans="1:5" ht="10.5" hidden="1" customHeight="1" x14ac:dyDescent="0.25">
      <c r="A486" s="131"/>
      <c r="B486" s="131"/>
      <c r="C486" s="131"/>
      <c r="D486" s="131"/>
      <c r="E486" s="131"/>
    </row>
    <row r="487" spans="1:5" ht="10.5" hidden="1" customHeight="1" x14ac:dyDescent="0.25">
      <c r="A487" s="131"/>
      <c r="B487" s="131"/>
      <c r="C487" s="131"/>
      <c r="D487" s="131"/>
      <c r="E487" s="131"/>
    </row>
    <row r="488" spans="1:5" ht="10.5" hidden="1" customHeight="1" x14ac:dyDescent="0.25">
      <c r="A488" s="131"/>
      <c r="B488" s="131"/>
      <c r="C488" s="131"/>
      <c r="D488" s="131"/>
      <c r="E488" s="131"/>
    </row>
    <row r="489" spans="1:5" ht="10.5" hidden="1" customHeight="1" x14ac:dyDescent="0.25">
      <c r="A489" s="131"/>
      <c r="B489" s="131"/>
      <c r="C489" s="131"/>
      <c r="D489" s="131"/>
      <c r="E489" s="131"/>
    </row>
    <row r="490" spans="1:5" ht="10.5" hidden="1" customHeight="1" x14ac:dyDescent="0.25">
      <c r="A490" s="131"/>
      <c r="B490" s="131"/>
      <c r="C490" s="131"/>
      <c r="D490" s="131"/>
      <c r="E490" s="131"/>
    </row>
    <row r="491" spans="1:5" ht="10.5" hidden="1" customHeight="1" x14ac:dyDescent="0.25">
      <c r="A491" s="131"/>
      <c r="B491" s="131"/>
      <c r="C491" s="131"/>
      <c r="D491" s="131"/>
      <c r="E491" s="131"/>
    </row>
    <row r="492" spans="1:5" ht="10.5" hidden="1" customHeight="1" x14ac:dyDescent="0.25">
      <c r="A492" s="131"/>
      <c r="B492" s="131"/>
      <c r="C492" s="131"/>
      <c r="D492" s="131"/>
      <c r="E492" s="131"/>
    </row>
    <row r="493" spans="1:5" ht="10.5" hidden="1" customHeight="1" x14ac:dyDescent="0.25">
      <c r="A493" s="131"/>
      <c r="B493" s="131"/>
      <c r="C493" s="131"/>
      <c r="D493" s="131"/>
      <c r="E493" s="131"/>
    </row>
    <row r="494" spans="1:5" ht="10.5" hidden="1" customHeight="1" x14ac:dyDescent="0.25">
      <c r="A494" s="131"/>
      <c r="B494" s="131"/>
      <c r="C494" s="131"/>
      <c r="D494" s="131"/>
      <c r="E494" s="131"/>
    </row>
    <row r="495" spans="1:5" ht="10.5" hidden="1" customHeight="1" x14ac:dyDescent="0.25">
      <c r="A495" s="131"/>
      <c r="B495" s="131"/>
      <c r="C495" s="131"/>
      <c r="D495" s="131"/>
      <c r="E495" s="131"/>
    </row>
    <row r="496" spans="1:5" ht="10.5" hidden="1" customHeight="1" x14ac:dyDescent="0.25">
      <c r="A496" s="131"/>
      <c r="B496" s="131"/>
      <c r="C496" s="131"/>
      <c r="D496" s="131"/>
      <c r="E496" s="131"/>
    </row>
    <row r="497" spans="1:8" ht="10.5" hidden="1" customHeight="1" x14ac:dyDescent="0.25">
      <c r="A497" s="131"/>
      <c r="B497" s="131"/>
      <c r="C497" s="131"/>
      <c r="D497" s="131"/>
      <c r="E497" s="131"/>
    </row>
    <row r="498" spans="1:8" ht="10.5" hidden="1" customHeight="1" x14ac:dyDescent="0.25">
      <c r="A498" s="131"/>
      <c r="B498" s="131"/>
      <c r="C498" s="131"/>
      <c r="D498" s="131"/>
      <c r="E498" s="131"/>
      <c r="F498" s="1"/>
      <c r="G498" s="1"/>
      <c r="H498" s="2"/>
    </row>
    <row r="499" spans="1:8" ht="10.5" hidden="1" customHeight="1" x14ac:dyDescent="0.25">
      <c r="A499" s="131"/>
      <c r="B499" s="131"/>
      <c r="C499" s="131"/>
      <c r="D499" s="131"/>
      <c r="E499" s="131"/>
      <c r="F499" s="1"/>
      <c r="G499" s="1"/>
      <c r="H499" s="2"/>
    </row>
    <row r="500" spans="1:8" ht="10.5" hidden="1" customHeight="1" x14ac:dyDescent="0.25">
      <c r="A500" s="131"/>
      <c r="B500" s="131"/>
      <c r="C500" s="131"/>
      <c r="D500" s="131"/>
      <c r="E500" s="131"/>
      <c r="F500" s="1"/>
      <c r="G500" s="1"/>
      <c r="H500" s="2"/>
    </row>
    <row r="501" spans="1:8" ht="10.5" hidden="1" customHeight="1" x14ac:dyDescent="0.25">
      <c r="A501" s="131"/>
      <c r="B501" s="131"/>
      <c r="C501" s="131"/>
      <c r="D501" s="131"/>
      <c r="E501" s="131"/>
      <c r="F501" s="1"/>
      <c r="G501" s="1"/>
      <c r="H501" s="2"/>
    </row>
    <row r="502" spans="1:8" ht="10.5" hidden="1" customHeight="1" x14ac:dyDescent="0.25">
      <c r="A502" s="131"/>
      <c r="B502" s="133"/>
      <c r="C502" s="138"/>
      <c r="D502" s="131"/>
      <c r="E502" s="131"/>
      <c r="F502" s="1"/>
      <c r="G502" s="1"/>
      <c r="H502" s="2"/>
    </row>
    <row r="503" spans="1:8" s="129" customFormat="1" ht="12.95" customHeight="1" x14ac:dyDescent="0.25">
      <c r="A503" s="126"/>
      <c r="B503" s="127" t="s">
        <v>114</v>
      </c>
      <c r="C503" s="128" t="str">
        <f>A79</f>
        <v>Base IDP 2.0 FAR</v>
      </c>
      <c r="D503" s="126"/>
      <c r="E503" s="126"/>
      <c r="H503" s="130"/>
    </row>
    <row r="504" spans="1:8" ht="10.5" customHeight="1" x14ac:dyDescent="0.25">
      <c r="A504" s="131"/>
      <c r="B504" s="131" t="s">
        <v>115</v>
      </c>
      <c r="C504" s="132">
        <f>H79</f>
        <v>93255</v>
      </c>
      <c r="D504" s="131"/>
      <c r="E504" s="131"/>
      <c r="F504" s="1"/>
      <c r="G504" s="1"/>
      <c r="H504" s="2"/>
    </row>
    <row r="505" spans="1:8" ht="10.5" customHeight="1" x14ac:dyDescent="0.25">
      <c r="A505" s="131"/>
      <c r="B505" s="131" t="s">
        <v>116</v>
      </c>
      <c r="C505" s="132">
        <f>H81</f>
        <v>181135</v>
      </c>
      <c r="D505" s="131"/>
      <c r="E505" s="131"/>
      <c r="F505" s="1"/>
      <c r="G505" s="1"/>
      <c r="H505" s="2"/>
    </row>
    <row r="506" spans="1:8" ht="10.5" customHeight="1" x14ac:dyDescent="0.25">
      <c r="A506" s="131"/>
      <c r="B506" s="131" t="s">
        <v>117</v>
      </c>
      <c r="C506" s="132">
        <f>G82</f>
        <v>950</v>
      </c>
      <c r="D506" s="131"/>
      <c r="E506" s="131"/>
      <c r="F506" s="1"/>
      <c r="G506" s="1"/>
      <c r="H506" s="2"/>
    </row>
    <row r="507" spans="1:8" ht="10.5" customHeight="1" x14ac:dyDescent="0.25">
      <c r="A507" s="131"/>
      <c r="B507" s="131" t="s">
        <v>107</v>
      </c>
      <c r="C507" s="132">
        <f>H82</f>
        <v>190.66842105263157</v>
      </c>
      <c r="D507" s="131"/>
      <c r="E507" s="131"/>
      <c r="F507" s="1"/>
      <c r="G507" s="1"/>
      <c r="H507" s="2"/>
    </row>
    <row r="508" spans="1:8" ht="10.5" customHeight="1" x14ac:dyDescent="0.25">
      <c r="A508" s="131"/>
      <c r="B508" s="131" t="s">
        <v>118</v>
      </c>
      <c r="C508" s="132">
        <f>H84</f>
        <v>25</v>
      </c>
      <c r="D508" s="131"/>
      <c r="E508" s="131"/>
      <c r="F508" s="1"/>
      <c r="G508" s="1"/>
      <c r="H508" s="2"/>
    </row>
    <row r="509" spans="1:8" ht="10.5" customHeight="1" x14ac:dyDescent="0.25">
      <c r="A509" s="131"/>
      <c r="B509" s="131" t="s">
        <v>119</v>
      </c>
      <c r="C509" s="132">
        <f>H85</f>
        <v>0</v>
      </c>
      <c r="D509" s="131"/>
      <c r="E509" s="131"/>
      <c r="F509" s="1"/>
      <c r="G509" s="1"/>
      <c r="H509" s="2"/>
    </row>
    <row r="510" spans="1:8" ht="10.5" customHeight="1" x14ac:dyDescent="0.25">
      <c r="A510" s="131"/>
      <c r="B510" s="131" t="s">
        <v>120</v>
      </c>
      <c r="C510" s="132">
        <f>H89</f>
        <v>0</v>
      </c>
      <c r="D510" s="131"/>
      <c r="E510" s="131"/>
      <c r="F510" s="1"/>
      <c r="G510" s="1"/>
      <c r="H510" s="2"/>
    </row>
    <row r="511" spans="1:8" ht="10.5" customHeight="1" x14ac:dyDescent="0.25">
      <c r="A511" s="131"/>
      <c r="B511" s="131"/>
      <c r="C511" s="132"/>
      <c r="D511" s="131"/>
      <c r="E511" s="131"/>
      <c r="F511" s="1"/>
      <c r="G511" s="1"/>
      <c r="H511" s="2"/>
    </row>
    <row r="512" spans="1:8" ht="10.5" customHeight="1" x14ac:dyDescent="0.25">
      <c r="A512" s="131"/>
      <c r="B512" s="133" t="s">
        <v>121</v>
      </c>
      <c r="C512" s="132"/>
      <c r="D512" s="131"/>
      <c r="E512" s="131"/>
      <c r="F512" s="1"/>
      <c r="G512" s="1"/>
      <c r="H512" s="2"/>
    </row>
    <row r="513" spans="1:8" ht="10.5" customHeight="1" x14ac:dyDescent="0.25">
      <c r="A513" s="131"/>
      <c r="B513" s="131" t="s">
        <v>122</v>
      </c>
      <c r="C513" s="134">
        <f>H98</f>
        <v>329478</v>
      </c>
      <c r="D513" s="135" t="s">
        <v>123</v>
      </c>
      <c r="E513" s="134">
        <v>1098.26</v>
      </c>
      <c r="F513" s="1"/>
      <c r="G513" s="1"/>
      <c r="H513" s="2"/>
    </row>
    <row r="514" spans="1:8" ht="10.5" customHeight="1" x14ac:dyDescent="0.25">
      <c r="A514" s="131"/>
      <c r="B514" s="131" t="s">
        <v>124</v>
      </c>
      <c r="C514" s="134">
        <f>H99</f>
        <v>0</v>
      </c>
      <c r="D514" s="135" t="s">
        <v>123</v>
      </c>
      <c r="E514" s="134">
        <v>784.93925925925919</v>
      </c>
    </row>
    <row r="515" spans="1:8" ht="10.5" customHeight="1" x14ac:dyDescent="0.25">
      <c r="A515" s="131"/>
      <c r="B515" s="131" t="s">
        <v>125</v>
      </c>
      <c r="C515" s="136">
        <f>H97</f>
        <v>5889348</v>
      </c>
      <c r="D515" s="135" t="s">
        <v>123</v>
      </c>
      <c r="E515" s="134">
        <v>2956.5</v>
      </c>
    </row>
    <row r="516" spans="1:8" ht="10.5" customHeight="1" x14ac:dyDescent="0.25">
      <c r="A516" s="131"/>
      <c r="B516" s="131" t="s">
        <v>126</v>
      </c>
      <c r="C516" s="136">
        <f>H102</f>
        <v>429003.94736842095</v>
      </c>
      <c r="D516" s="135"/>
      <c r="E516" s="134"/>
    </row>
    <row r="517" spans="1:8" ht="10.5" customHeight="1" x14ac:dyDescent="0.25">
      <c r="A517" s="131"/>
      <c r="B517" s="131" t="s">
        <v>127</v>
      </c>
      <c r="C517" s="136">
        <f>H111</f>
        <v>-294467.40000000002</v>
      </c>
      <c r="D517" s="135"/>
      <c r="E517" s="134"/>
    </row>
    <row r="518" spans="1:8" ht="10.5" customHeight="1" x14ac:dyDescent="0.25">
      <c r="A518" s="131"/>
      <c r="B518" s="131" t="s">
        <v>128</v>
      </c>
      <c r="C518" s="136">
        <f>H121</f>
        <v>-2100914.320723684</v>
      </c>
      <c r="D518" s="131"/>
      <c r="E518" s="131"/>
    </row>
    <row r="519" spans="1:8" ht="10.5" customHeight="1" x14ac:dyDescent="0.25">
      <c r="A519" s="131"/>
      <c r="B519" s="131" t="s">
        <v>129</v>
      </c>
      <c r="C519" s="134">
        <f>SUM(C513:C518)</f>
        <v>4252448.2266447358</v>
      </c>
      <c r="D519" s="131"/>
      <c r="E519" s="131"/>
    </row>
    <row r="520" spans="1:8" ht="10.5" customHeight="1" x14ac:dyDescent="0.25">
      <c r="A520" s="131"/>
      <c r="B520" s="131"/>
      <c r="C520" s="131"/>
      <c r="D520" s="131"/>
      <c r="E520" s="131"/>
    </row>
    <row r="521" spans="1:8" ht="10.5" customHeight="1" x14ac:dyDescent="0.25">
      <c r="A521" s="131"/>
      <c r="B521" s="133" t="s">
        <v>130</v>
      </c>
      <c r="C521" s="131"/>
      <c r="D521" s="131"/>
      <c r="E521" s="131"/>
    </row>
    <row r="522" spans="1:8" ht="10.5" customHeight="1" x14ac:dyDescent="0.25">
      <c r="A522" s="131"/>
      <c r="B522" s="131" t="s">
        <v>131</v>
      </c>
      <c r="C522" s="136">
        <f>H135+H137</f>
        <v>51665422.052631587</v>
      </c>
      <c r="D522" s="131"/>
      <c r="E522" s="131"/>
    </row>
    <row r="523" spans="1:8" ht="10.5" customHeight="1" x14ac:dyDescent="0.25">
      <c r="A523" s="131"/>
      <c r="B523" s="131" t="s">
        <v>132</v>
      </c>
      <c r="C523" s="136">
        <f>H133</f>
        <v>6527850</v>
      </c>
      <c r="D523" s="131"/>
      <c r="E523" s="131"/>
    </row>
    <row r="524" spans="1:8" ht="10.5" customHeight="1" x14ac:dyDescent="0.25">
      <c r="A524" s="131"/>
      <c r="B524" s="131" t="s">
        <v>133</v>
      </c>
      <c r="C524" s="136">
        <f>H138</f>
        <v>9300000</v>
      </c>
      <c r="D524" s="131"/>
      <c r="E524" s="131"/>
    </row>
    <row r="525" spans="1:8" ht="10.5" customHeight="1" x14ac:dyDescent="0.25">
      <c r="A525" s="131"/>
      <c r="B525" s="131" t="s">
        <v>113</v>
      </c>
      <c r="C525" s="136">
        <f>H134</f>
        <v>0</v>
      </c>
      <c r="D525" s="131"/>
      <c r="E525" s="131"/>
    </row>
    <row r="526" spans="1:8" ht="10.5" customHeight="1" x14ac:dyDescent="0.25">
      <c r="A526" s="131"/>
      <c r="B526" s="131" t="s">
        <v>134</v>
      </c>
      <c r="C526" s="136">
        <f>SUM(C522:C525)</f>
        <v>67493272.052631587</v>
      </c>
      <c r="D526" s="135" t="s">
        <v>135</v>
      </c>
      <c r="E526" s="136">
        <f>C526/C507</f>
        <v>353982.43547630229</v>
      </c>
    </row>
    <row r="527" spans="1:8" ht="10.5" customHeight="1" x14ac:dyDescent="0.25">
      <c r="A527" s="131"/>
      <c r="B527" s="131"/>
      <c r="C527" s="131"/>
      <c r="D527" s="131"/>
      <c r="E527" s="131"/>
    </row>
    <row r="528" spans="1:8" ht="10.5" customHeight="1" x14ac:dyDescent="0.25">
      <c r="A528" s="131"/>
      <c r="B528" s="133" t="s">
        <v>136</v>
      </c>
      <c r="C528" s="137">
        <f>C519/C526</f>
        <v>6.3005512954367598E-2</v>
      </c>
      <c r="D528" s="131"/>
      <c r="E528" s="131"/>
    </row>
    <row r="529" spans="1:5" ht="10.5" customHeight="1" x14ac:dyDescent="0.25">
      <c r="A529" s="131"/>
      <c r="B529" s="131"/>
      <c r="C529" s="131"/>
      <c r="D529" s="131"/>
      <c r="E529" s="131"/>
    </row>
    <row r="530" spans="1:5" ht="10.5" hidden="1" customHeight="1" x14ac:dyDescent="0.25">
      <c r="A530" s="131"/>
      <c r="B530" s="131"/>
      <c r="C530" s="131"/>
      <c r="D530" s="131"/>
      <c r="E530" s="131"/>
    </row>
    <row r="531" spans="1:5" ht="10.5" hidden="1" customHeight="1" x14ac:dyDescent="0.25">
      <c r="A531" s="131"/>
      <c r="B531" s="131"/>
      <c r="C531" s="131"/>
      <c r="D531" s="131"/>
      <c r="E531" s="131"/>
    </row>
    <row r="532" spans="1:5" ht="10.5" hidden="1" customHeight="1" x14ac:dyDescent="0.25">
      <c r="A532" s="131"/>
      <c r="B532" s="131"/>
      <c r="C532" s="131"/>
      <c r="D532" s="131"/>
      <c r="E532" s="131"/>
    </row>
    <row r="533" spans="1:5" ht="10.5" hidden="1" customHeight="1" x14ac:dyDescent="0.25">
      <c r="A533" s="131"/>
      <c r="B533" s="131"/>
      <c r="C533" s="131"/>
      <c r="D533" s="131"/>
      <c r="E533" s="131"/>
    </row>
    <row r="534" spans="1:5" ht="10.5" hidden="1" customHeight="1" x14ac:dyDescent="0.25">
      <c r="A534" s="131"/>
      <c r="B534" s="131"/>
      <c r="C534" s="131"/>
      <c r="D534" s="131"/>
      <c r="E534" s="131"/>
    </row>
    <row r="535" spans="1:5" ht="10.5" hidden="1" customHeight="1" x14ac:dyDescent="0.25">
      <c r="A535" s="131"/>
      <c r="B535" s="131"/>
      <c r="C535" s="131"/>
      <c r="D535" s="131"/>
      <c r="E535" s="131"/>
    </row>
    <row r="536" spans="1:5" ht="10.5" hidden="1" customHeight="1" x14ac:dyDescent="0.25">
      <c r="A536" s="131"/>
      <c r="B536" s="131"/>
      <c r="C536" s="131"/>
      <c r="D536" s="131"/>
      <c r="E536" s="131"/>
    </row>
    <row r="537" spans="1:5" ht="10.5" hidden="1" customHeight="1" x14ac:dyDescent="0.25">
      <c r="A537" s="131"/>
      <c r="B537" s="131"/>
      <c r="C537" s="131"/>
      <c r="D537" s="131"/>
      <c r="E537" s="131"/>
    </row>
    <row r="538" spans="1:5" ht="10.5" hidden="1" customHeight="1" x14ac:dyDescent="0.25">
      <c r="A538" s="131"/>
      <c r="B538" s="131"/>
      <c r="C538" s="131"/>
      <c r="D538" s="131"/>
      <c r="E538" s="131"/>
    </row>
    <row r="539" spans="1:5" ht="10.5" hidden="1" customHeight="1" x14ac:dyDescent="0.25">
      <c r="A539" s="131"/>
      <c r="B539" s="131"/>
      <c r="C539" s="131"/>
      <c r="D539" s="131"/>
      <c r="E539" s="131"/>
    </row>
    <row r="540" spans="1:5" ht="10.5" hidden="1" customHeight="1" x14ac:dyDescent="0.25">
      <c r="A540" s="131"/>
      <c r="B540" s="131"/>
      <c r="C540" s="131"/>
      <c r="D540" s="131"/>
      <c r="E540" s="131"/>
    </row>
    <row r="541" spans="1:5" ht="10.5" hidden="1" customHeight="1" x14ac:dyDescent="0.25">
      <c r="A541" s="131"/>
      <c r="B541" s="131"/>
      <c r="C541" s="131"/>
      <c r="D541" s="131"/>
      <c r="E541" s="131"/>
    </row>
    <row r="542" spans="1:5" ht="10.5" hidden="1" customHeight="1" x14ac:dyDescent="0.25">
      <c r="A542" s="131"/>
      <c r="B542" s="131"/>
      <c r="C542" s="131"/>
      <c r="D542" s="131"/>
      <c r="E542" s="131"/>
    </row>
    <row r="543" spans="1:5" ht="10.5" hidden="1" customHeight="1" x14ac:dyDescent="0.25">
      <c r="A543" s="131"/>
      <c r="B543" s="131"/>
      <c r="C543" s="131"/>
      <c r="D543" s="131"/>
      <c r="E543" s="131"/>
    </row>
    <row r="544" spans="1:5" ht="10.5" hidden="1" customHeight="1" x14ac:dyDescent="0.25">
      <c r="A544" s="131"/>
      <c r="B544" s="131"/>
      <c r="C544" s="131"/>
      <c r="D544" s="131"/>
      <c r="E544" s="131"/>
    </row>
    <row r="545" spans="1:5" ht="10.5" hidden="1" customHeight="1" x14ac:dyDescent="0.25">
      <c r="A545" s="131"/>
      <c r="B545" s="131"/>
      <c r="C545" s="131"/>
      <c r="D545" s="131"/>
      <c r="E545" s="131"/>
    </row>
    <row r="546" spans="1:5" ht="10.5" hidden="1" customHeight="1" x14ac:dyDescent="0.25">
      <c r="A546" s="131"/>
      <c r="B546" s="131"/>
      <c r="C546" s="131"/>
      <c r="D546" s="131"/>
      <c r="E546" s="131"/>
    </row>
    <row r="547" spans="1:5" ht="10.5" hidden="1" customHeight="1" x14ac:dyDescent="0.25">
      <c r="A547" s="131"/>
      <c r="B547" s="131"/>
      <c r="C547" s="131"/>
      <c r="D547" s="131"/>
      <c r="E547" s="131"/>
    </row>
    <row r="548" spans="1:5" ht="10.5" hidden="1" customHeight="1" x14ac:dyDescent="0.25">
      <c r="A548" s="131"/>
      <c r="B548" s="131"/>
      <c r="C548" s="131"/>
      <c r="D548" s="131"/>
      <c r="E548" s="131"/>
    </row>
    <row r="549" spans="1:5" ht="10.5" hidden="1" customHeight="1" x14ac:dyDescent="0.25">
      <c r="A549" s="131"/>
      <c r="B549" s="131"/>
      <c r="C549" s="131"/>
      <c r="D549" s="131"/>
      <c r="E549" s="131"/>
    </row>
    <row r="550" spans="1:5" ht="10.5" hidden="1" customHeight="1" x14ac:dyDescent="0.25">
      <c r="A550" s="131"/>
      <c r="B550" s="131"/>
      <c r="C550" s="131"/>
      <c r="D550" s="131"/>
      <c r="E550" s="131"/>
    </row>
    <row r="551" spans="1:5" ht="10.5" hidden="1" customHeight="1" x14ac:dyDescent="0.25">
      <c r="A551" s="131"/>
      <c r="B551" s="131"/>
      <c r="C551" s="131"/>
      <c r="D551" s="131"/>
      <c r="E551" s="131"/>
    </row>
    <row r="552" spans="1:5" ht="10.5" hidden="1" customHeight="1" x14ac:dyDescent="0.25">
      <c r="A552" s="131"/>
      <c r="B552" s="131"/>
      <c r="C552" s="131"/>
      <c r="D552" s="131"/>
      <c r="E552" s="131"/>
    </row>
    <row r="553" spans="1:5" ht="10.5" hidden="1" customHeight="1" x14ac:dyDescent="0.25">
      <c r="A553" s="131"/>
      <c r="B553" s="131"/>
      <c r="C553" s="131"/>
      <c r="D553" s="131"/>
      <c r="E553" s="131"/>
    </row>
    <row r="554" spans="1:5" ht="10.5" hidden="1" customHeight="1" x14ac:dyDescent="0.25">
      <c r="A554" s="131"/>
      <c r="B554" s="131"/>
      <c r="C554" s="131"/>
      <c r="D554" s="131"/>
      <c r="E554" s="131"/>
    </row>
    <row r="555" spans="1:5" ht="10.5" hidden="1" customHeight="1" x14ac:dyDescent="0.25">
      <c r="A555" s="131"/>
      <c r="B555" s="131"/>
      <c r="C555" s="131"/>
      <c r="D555" s="131"/>
      <c r="E555" s="131"/>
    </row>
    <row r="556" spans="1:5" ht="10.5" hidden="1" customHeight="1" x14ac:dyDescent="0.25">
      <c r="A556" s="131"/>
      <c r="B556" s="131"/>
      <c r="C556" s="131"/>
      <c r="D556" s="131"/>
      <c r="E556" s="131"/>
    </row>
    <row r="557" spans="1:5" ht="10.5" hidden="1" customHeight="1" x14ac:dyDescent="0.25">
      <c r="A557" s="131"/>
      <c r="B557" s="131"/>
      <c r="C557" s="131"/>
      <c r="D557" s="131"/>
      <c r="E557" s="131"/>
    </row>
    <row r="558" spans="1:5" ht="10.5" hidden="1" customHeight="1" x14ac:dyDescent="0.25">
      <c r="A558" s="131"/>
      <c r="B558" s="131"/>
      <c r="C558" s="131"/>
      <c r="D558" s="131"/>
      <c r="E558" s="131"/>
    </row>
    <row r="559" spans="1:5" ht="10.5" hidden="1" customHeight="1" x14ac:dyDescent="0.25">
      <c r="A559" s="131"/>
      <c r="B559" s="131"/>
      <c r="C559" s="131"/>
      <c r="D559" s="131"/>
      <c r="E559" s="131"/>
    </row>
    <row r="560" spans="1:5" ht="10.5" hidden="1" customHeight="1" x14ac:dyDescent="0.25">
      <c r="A560" s="131"/>
      <c r="B560" s="131"/>
      <c r="C560" s="131"/>
      <c r="D560" s="131"/>
      <c r="E560" s="131"/>
    </row>
    <row r="561" spans="1:8" ht="10.5" hidden="1" customHeight="1" x14ac:dyDescent="0.25">
      <c r="A561" s="131"/>
      <c r="B561" s="131"/>
      <c r="C561" s="131"/>
      <c r="D561" s="131"/>
      <c r="E561" s="131"/>
    </row>
    <row r="562" spans="1:8" ht="10.5" hidden="1" customHeight="1" x14ac:dyDescent="0.25">
      <c r="A562" s="131"/>
      <c r="B562" s="131"/>
      <c r="C562" s="131"/>
      <c r="D562" s="131"/>
      <c r="E562" s="131"/>
      <c r="F562" s="1"/>
      <c r="G562" s="1"/>
      <c r="H562" s="2"/>
    </row>
    <row r="563" spans="1:8" ht="10.5" hidden="1" customHeight="1" x14ac:dyDescent="0.25">
      <c r="A563" s="131"/>
      <c r="B563" s="131"/>
      <c r="C563" s="131"/>
      <c r="D563" s="131"/>
      <c r="E563" s="131"/>
      <c r="F563" s="1"/>
      <c r="G563" s="1"/>
      <c r="H563" s="2"/>
    </row>
    <row r="564" spans="1:8" ht="10.5" hidden="1" customHeight="1" x14ac:dyDescent="0.25">
      <c r="A564" s="131"/>
      <c r="B564" s="131"/>
      <c r="C564" s="131"/>
      <c r="D564" s="131"/>
      <c r="E564" s="131"/>
      <c r="F564" s="1"/>
      <c r="G564" s="1"/>
      <c r="H564" s="2"/>
    </row>
    <row r="565" spans="1:8" ht="10.5" hidden="1" customHeight="1" x14ac:dyDescent="0.25">
      <c r="A565" s="131"/>
      <c r="B565" s="131"/>
      <c r="C565" s="131"/>
      <c r="D565" s="131"/>
      <c r="E565" s="131"/>
      <c r="F565" s="1"/>
      <c r="G565" s="1"/>
      <c r="H565" s="2"/>
    </row>
    <row r="566" spans="1:8" ht="10.5" hidden="1" customHeight="1" x14ac:dyDescent="0.25">
      <c r="A566" s="131"/>
      <c r="B566" s="131"/>
      <c r="C566" s="131"/>
      <c r="D566" s="131"/>
      <c r="E566" s="131"/>
      <c r="F566" s="1"/>
      <c r="G566" s="1"/>
      <c r="H566" s="2"/>
    </row>
    <row r="567" spans="1:8" ht="10.5" hidden="1" customHeight="1" x14ac:dyDescent="0.25">
      <c r="A567" s="131"/>
      <c r="B567" s="131"/>
      <c r="C567" s="131"/>
      <c r="D567" s="131"/>
      <c r="E567" s="131"/>
      <c r="F567" s="1"/>
      <c r="G567" s="1"/>
      <c r="H567" s="2"/>
    </row>
    <row r="568" spans="1:8" ht="10.5" hidden="1" customHeight="1" x14ac:dyDescent="0.25">
      <c r="A568" s="131"/>
      <c r="B568" s="131"/>
      <c r="C568" s="131"/>
      <c r="D568" s="131"/>
      <c r="E568" s="131"/>
      <c r="F568" s="1"/>
      <c r="G568" s="1"/>
      <c r="H568" s="2"/>
    </row>
    <row r="569" spans="1:8" ht="10.5" hidden="1" customHeight="1" x14ac:dyDescent="0.25">
      <c r="A569" s="131"/>
      <c r="B569" s="131"/>
      <c r="C569" s="131"/>
      <c r="D569" s="131"/>
      <c r="E569" s="131"/>
      <c r="F569" s="1"/>
      <c r="G569" s="1"/>
      <c r="H569" s="2"/>
    </row>
    <row r="570" spans="1:8" ht="10.5" hidden="1" customHeight="1" x14ac:dyDescent="0.25">
      <c r="A570" s="131"/>
      <c r="B570" s="131"/>
      <c r="C570" s="131"/>
      <c r="D570" s="131"/>
      <c r="E570" s="131"/>
      <c r="F570" s="1"/>
      <c r="G570" s="1"/>
      <c r="H570" s="2"/>
    </row>
    <row r="571" spans="1:8" ht="10.5" hidden="1" customHeight="1" x14ac:dyDescent="0.25">
      <c r="A571" s="131"/>
      <c r="B571" s="131"/>
      <c r="C571" s="131"/>
      <c r="D571" s="131"/>
      <c r="E571" s="131"/>
      <c r="F571" s="1"/>
      <c r="G571" s="1"/>
      <c r="H571" s="2"/>
    </row>
    <row r="572" spans="1:8" s="129" customFormat="1" ht="12.95" customHeight="1" x14ac:dyDescent="0.25">
      <c r="A572" s="126"/>
      <c r="B572" s="127" t="s">
        <v>114</v>
      </c>
      <c r="C572" s="128" t="str">
        <f>A148</f>
        <v>Bonus 3.0 FAR</v>
      </c>
      <c r="D572" s="126"/>
      <c r="E572" s="126"/>
      <c r="H572" s="130"/>
    </row>
    <row r="573" spans="1:8" ht="10.5" customHeight="1" x14ac:dyDescent="0.25">
      <c r="A573" s="131"/>
      <c r="B573" s="131" t="s">
        <v>115</v>
      </c>
      <c r="C573" s="132">
        <f>H147</f>
        <v>113559</v>
      </c>
      <c r="D573" s="131"/>
      <c r="E573" s="131"/>
      <c r="F573" s="1"/>
      <c r="G573" s="1"/>
      <c r="H573" s="2"/>
    </row>
    <row r="574" spans="1:8" ht="10.5" customHeight="1" x14ac:dyDescent="0.25">
      <c r="A574" s="131"/>
      <c r="B574" s="131" t="s">
        <v>116</v>
      </c>
      <c r="C574" s="132">
        <f>H149</f>
        <v>334820</v>
      </c>
      <c r="D574" s="131"/>
      <c r="E574" s="131"/>
      <c r="F574" s="1"/>
      <c r="G574" s="1"/>
      <c r="H574" s="2"/>
    </row>
    <row r="575" spans="1:8" ht="10.5" customHeight="1" x14ac:dyDescent="0.25">
      <c r="A575" s="131"/>
      <c r="B575" s="131" t="s">
        <v>117</v>
      </c>
      <c r="C575" s="132">
        <f>G150</f>
        <v>950</v>
      </c>
      <c r="D575" s="131"/>
      <c r="E575" s="131"/>
      <c r="F575" s="1"/>
      <c r="G575" s="1"/>
      <c r="H575" s="2"/>
    </row>
    <row r="576" spans="1:8" ht="10.5" customHeight="1" x14ac:dyDescent="0.25">
      <c r="A576" s="131"/>
      <c r="B576" s="131" t="s">
        <v>107</v>
      </c>
      <c r="C576" s="132">
        <f>H150</f>
        <v>352.44210526315788</v>
      </c>
      <c r="D576" s="131"/>
      <c r="E576" s="131"/>
      <c r="F576" s="1"/>
      <c r="G576" s="1"/>
      <c r="H576" s="2"/>
    </row>
    <row r="577" spans="1:8" ht="10.5" customHeight="1" x14ac:dyDescent="0.25">
      <c r="A577" s="131"/>
      <c r="B577" s="131" t="s">
        <v>118</v>
      </c>
      <c r="C577" s="132">
        <f>H152</f>
        <v>31</v>
      </c>
      <c r="D577" s="131"/>
      <c r="E577" s="131"/>
      <c r="F577" s="1"/>
      <c r="G577" s="1"/>
      <c r="H577" s="2"/>
    </row>
    <row r="578" spans="1:8" ht="10.5" customHeight="1" x14ac:dyDescent="0.25">
      <c r="A578" s="131"/>
      <c r="B578" s="131" t="s">
        <v>119</v>
      </c>
      <c r="C578" s="132">
        <f>H154</f>
        <v>61</v>
      </c>
      <c r="D578" s="131"/>
      <c r="E578" s="131"/>
    </row>
    <row r="579" spans="1:8" ht="10.5" customHeight="1" x14ac:dyDescent="0.25">
      <c r="A579" s="131"/>
      <c r="B579" s="131" t="s">
        <v>120</v>
      </c>
      <c r="C579" s="132">
        <f>H157</f>
        <v>0</v>
      </c>
      <c r="D579" s="131"/>
      <c r="E579" s="131"/>
    </row>
    <row r="580" spans="1:8" ht="10.5" customHeight="1" x14ac:dyDescent="0.25">
      <c r="A580" s="131"/>
      <c r="B580" s="131"/>
      <c r="C580" s="132"/>
      <c r="D580" s="131"/>
      <c r="E580" s="131"/>
    </row>
    <row r="581" spans="1:8" ht="10.5" customHeight="1" x14ac:dyDescent="0.25">
      <c r="A581" s="131"/>
      <c r="B581" s="133" t="s">
        <v>121</v>
      </c>
      <c r="C581" s="132"/>
      <c r="D581" s="131"/>
      <c r="E581" s="131"/>
    </row>
    <row r="582" spans="1:8" ht="10.5" customHeight="1" x14ac:dyDescent="0.25">
      <c r="A582" s="131"/>
      <c r="B582" s="131" t="s">
        <v>122</v>
      </c>
      <c r="C582" s="134">
        <f>H166</f>
        <v>408552.72</v>
      </c>
      <c r="D582" s="135" t="s">
        <v>123</v>
      </c>
      <c r="E582" s="134">
        <v>1098.26</v>
      </c>
    </row>
    <row r="583" spans="1:8" ht="10.5" customHeight="1" x14ac:dyDescent="0.25">
      <c r="A583" s="131"/>
      <c r="B583" s="131" t="s">
        <v>124</v>
      </c>
      <c r="C583" s="134">
        <f>H167</f>
        <v>282578.1333333333</v>
      </c>
      <c r="D583" s="135" t="s">
        <v>123</v>
      </c>
      <c r="E583" s="134">
        <v>784.93925925925919</v>
      </c>
    </row>
    <row r="584" spans="1:8" ht="10.5" customHeight="1" x14ac:dyDescent="0.25">
      <c r="A584" s="131"/>
      <c r="B584" s="131" t="s">
        <v>125</v>
      </c>
      <c r="C584" s="136">
        <f>H165</f>
        <v>10324098</v>
      </c>
      <c r="D584" s="135" t="s">
        <v>123</v>
      </c>
      <c r="E584" s="134">
        <v>2956.5</v>
      </c>
    </row>
    <row r="585" spans="1:8" ht="10.5" customHeight="1" x14ac:dyDescent="0.25">
      <c r="A585" s="131"/>
      <c r="B585" s="131" t="s">
        <v>126</v>
      </c>
      <c r="C585" s="136">
        <f>H170</f>
        <v>792994.73684210528</v>
      </c>
      <c r="D585" s="135"/>
      <c r="E585" s="134"/>
    </row>
    <row r="586" spans="1:8" ht="10.5" customHeight="1" x14ac:dyDescent="0.25">
      <c r="A586" s="131"/>
      <c r="B586" s="131" t="s">
        <v>127</v>
      </c>
      <c r="C586" s="136">
        <f>H179</f>
        <v>-516204.9</v>
      </c>
      <c r="D586" s="135"/>
      <c r="E586" s="134"/>
    </row>
    <row r="587" spans="1:8" ht="10.5" customHeight="1" x14ac:dyDescent="0.25">
      <c r="A587" s="131"/>
      <c r="B587" s="131" t="s">
        <v>128</v>
      </c>
      <c r="C587" s="136">
        <f>H189</f>
        <v>-3811955.577368421</v>
      </c>
      <c r="D587" s="131"/>
      <c r="E587" s="131"/>
    </row>
    <row r="588" spans="1:8" ht="10.5" customHeight="1" x14ac:dyDescent="0.25">
      <c r="A588" s="131"/>
      <c r="B588" s="131" t="s">
        <v>129</v>
      </c>
      <c r="C588" s="134">
        <f>SUM(C582:C587)</f>
        <v>7480063.1128070168</v>
      </c>
      <c r="D588" s="131"/>
      <c r="E588" s="131"/>
    </row>
    <row r="589" spans="1:8" ht="10.5" customHeight="1" x14ac:dyDescent="0.25">
      <c r="A589" s="131"/>
      <c r="B589" s="131"/>
      <c r="C589" s="131"/>
      <c r="D589" s="131"/>
      <c r="E589" s="131"/>
    </row>
    <row r="590" spans="1:8" ht="10.5" customHeight="1" x14ac:dyDescent="0.25">
      <c r="A590" s="131"/>
      <c r="B590" s="133" t="s">
        <v>130</v>
      </c>
      <c r="C590" s="131"/>
      <c r="D590" s="131"/>
      <c r="E590" s="131"/>
    </row>
    <row r="591" spans="1:8" ht="10.5" customHeight="1" x14ac:dyDescent="0.25">
      <c r="A591" s="131"/>
      <c r="B591" s="131" t="s">
        <v>131</v>
      </c>
      <c r="C591" s="136">
        <f>H203+H205</f>
        <v>95501237.263157904</v>
      </c>
      <c r="D591" s="131"/>
      <c r="E591" s="131"/>
    </row>
    <row r="592" spans="1:8" ht="10.5" customHeight="1" x14ac:dyDescent="0.25">
      <c r="A592" s="131"/>
      <c r="B592" s="131" t="s">
        <v>132</v>
      </c>
      <c r="C592" s="136">
        <f>H201</f>
        <v>7949130</v>
      </c>
      <c r="D592" s="131"/>
      <c r="E592" s="131"/>
    </row>
    <row r="593" spans="1:5" ht="10.5" customHeight="1" x14ac:dyDescent="0.25">
      <c r="A593" s="131"/>
      <c r="B593" s="131" t="s">
        <v>133</v>
      </c>
      <c r="C593" s="136">
        <f>H206</f>
        <v>17200000</v>
      </c>
      <c r="D593" s="131"/>
      <c r="E593" s="131"/>
    </row>
    <row r="594" spans="1:5" ht="10.5" customHeight="1" x14ac:dyDescent="0.25">
      <c r="A594" s="131"/>
      <c r="B594" s="131" t="s">
        <v>113</v>
      </c>
      <c r="C594" s="136">
        <f>H202</f>
        <v>0</v>
      </c>
      <c r="D594" s="131"/>
      <c r="E594" s="131"/>
    </row>
    <row r="595" spans="1:5" ht="10.5" customHeight="1" x14ac:dyDescent="0.25">
      <c r="A595" s="131"/>
      <c r="B595" s="131" t="s">
        <v>134</v>
      </c>
      <c r="C595" s="136">
        <f>SUM(C591:C594)</f>
        <v>120650367.2631579</v>
      </c>
      <c r="D595" s="135" t="s">
        <v>135</v>
      </c>
      <c r="E595" s="136">
        <f>C595/C576</f>
        <v>342326.76930888242</v>
      </c>
    </row>
    <row r="596" spans="1:5" ht="10.5" customHeight="1" x14ac:dyDescent="0.25">
      <c r="A596" s="131"/>
      <c r="B596" s="131"/>
      <c r="C596" s="131"/>
      <c r="D596" s="131"/>
      <c r="E596" s="131"/>
    </row>
    <row r="597" spans="1:5" ht="10.5" customHeight="1" x14ac:dyDescent="0.25">
      <c r="A597" s="131"/>
      <c r="B597" s="133" t="s">
        <v>136</v>
      </c>
      <c r="C597" s="137">
        <f>C588/C595</f>
        <v>6.1997847851484718E-2</v>
      </c>
      <c r="D597" s="131"/>
      <c r="E597" s="131"/>
    </row>
    <row r="598" spans="1:5" ht="10.5" customHeight="1" x14ac:dyDescent="0.25">
      <c r="A598" s="131"/>
      <c r="B598" s="131"/>
      <c r="C598" s="131"/>
      <c r="D598" s="131"/>
      <c r="E598" s="131"/>
    </row>
    <row r="599" spans="1:5" ht="10.5" hidden="1" customHeight="1" x14ac:dyDescent="0.25">
      <c r="A599" s="131"/>
      <c r="B599" s="131"/>
      <c r="C599" s="131"/>
      <c r="D599" s="131"/>
      <c r="E599" s="131"/>
    </row>
    <row r="600" spans="1:5" ht="10.5" hidden="1" customHeight="1" x14ac:dyDescent="0.25">
      <c r="A600" s="131"/>
      <c r="B600" s="131"/>
      <c r="C600" s="131"/>
      <c r="D600" s="131"/>
      <c r="E600" s="131"/>
    </row>
    <row r="601" spans="1:5" ht="10.5" hidden="1" customHeight="1" x14ac:dyDescent="0.25">
      <c r="A601" s="131"/>
      <c r="B601" s="131"/>
      <c r="C601" s="131"/>
      <c r="D601" s="131"/>
      <c r="E601" s="131"/>
    </row>
    <row r="602" spans="1:5" ht="10.5" hidden="1" customHeight="1" x14ac:dyDescent="0.25">
      <c r="A602" s="131"/>
      <c r="B602" s="131"/>
      <c r="C602" s="131"/>
      <c r="D602" s="131"/>
      <c r="E602" s="131"/>
    </row>
    <row r="603" spans="1:5" ht="10.5" hidden="1" customHeight="1" x14ac:dyDescent="0.25">
      <c r="A603" s="131"/>
      <c r="B603" s="131"/>
      <c r="C603" s="131"/>
      <c r="D603" s="131"/>
      <c r="E603" s="131"/>
    </row>
    <row r="604" spans="1:5" ht="10.5" hidden="1" customHeight="1" x14ac:dyDescent="0.25">
      <c r="A604" s="131"/>
      <c r="B604" s="131"/>
      <c r="C604" s="131"/>
      <c r="D604" s="131"/>
      <c r="E604" s="131"/>
    </row>
    <row r="605" spans="1:5" ht="10.5" hidden="1" customHeight="1" x14ac:dyDescent="0.25">
      <c r="A605" s="131"/>
      <c r="B605" s="131"/>
      <c r="C605" s="131"/>
      <c r="D605" s="131"/>
      <c r="E605" s="131"/>
    </row>
    <row r="606" spans="1:5" ht="10.5" hidden="1" customHeight="1" x14ac:dyDescent="0.25">
      <c r="A606" s="131"/>
      <c r="B606" s="131"/>
      <c r="C606" s="131"/>
      <c r="D606" s="131"/>
      <c r="E606" s="131"/>
    </row>
    <row r="607" spans="1:5" ht="10.5" hidden="1" customHeight="1" x14ac:dyDescent="0.25">
      <c r="A607" s="131"/>
      <c r="B607" s="131"/>
      <c r="C607" s="131"/>
      <c r="D607" s="131"/>
      <c r="E607" s="131"/>
    </row>
    <row r="608" spans="1:5" ht="10.5" hidden="1" customHeight="1" x14ac:dyDescent="0.25">
      <c r="A608" s="131"/>
      <c r="B608" s="131"/>
      <c r="C608" s="131"/>
      <c r="D608" s="131"/>
      <c r="E608" s="131"/>
    </row>
    <row r="609" spans="1:5" ht="10.5" hidden="1" customHeight="1" x14ac:dyDescent="0.25">
      <c r="A609" s="131"/>
      <c r="B609" s="131"/>
      <c r="C609" s="131"/>
      <c r="D609" s="131"/>
      <c r="E609" s="131"/>
    </row>
    <row r="610" spans="1:5" ht="10.5" hidden="1" customHeight="1" x14ac:dyDescent="0.25">
      <c r="A610" s="131"/>
      <c r="B610" s="131"/>
      <c r="C610" s="131"/>
      <c r="D610" s="131"/>
      <c r="E610" s="131"/>
    </row>
    <row r="611" spans="1:5" ht="10.5" hidden="1" customHeight="1" x14ac:dyDescent="0.25">
      <c r="A611" s="131"/>
      <c r="B611" s="131"/>
      <c r="C611" s="131"/>
      <c r="D611" s="131"/>
      <c r="E611" s="131"/>
    </row>
    <row r="612" spans="1:5" ht="10.5" hidden="1" customHeight="1" x14ac:dyDescent="0.25">
      <c r="A612" s="131"/>
      <c r="B612" s="131"/>
      <c r="C612" s="131"/>
      <c r="D612" s="131"/>
      <c r="E612" s="131"/>
    </row>
    <row r="613" spans="1:5" ht="10.5" hidden="1" customHeight="1" x14ac:dyDescent="0.25">
      <c r="A613" s="131"/>
      <c r="B613" s="131"/>
      <c r="C613" s="131"/>
      <c r="D613" s="131"/>
      <c r="E613" s="131"/>
    </row>
    <row r="614" spans="1:5" ht="10.5" hidden="1" customHeight="1" x14ac:dyDescent="0.25">
      <c r="A614" s="131"/>
      <c r="B614" s="131"/>
      <c r="C614" s="131"/>
      <c r="D614" s="131"/>
      <c r="E614" s="131"/>
    </row>
    <row r="615" spans="1:5" ht="10.5" hidden="1" customHeight="1" x14ac:dyDescent="0.25">
      <c r="A615" s="131"/>
      <c r="B615" s="131"/>
      <c r="C615" s="131"/>
      <c r="D615" s="131"/>
      <c r="E615" s="131"/>
    </row>
    <row r="616" spans="1:5" ht="10.5" hidden="1" customHeight="1" x14ac:dyDescent="0.25">
      <c r="A616" s="131"/>
      <c r="B616" s="131"/>
      <c r="C616" s="131"/>
      <c r="D616" s="131"/>
      <c r="E616" s="131"/>
    </row>
    <row r="617" spans="1:5" ht="10.5" hidden="1" customHeight="1" x14ac:dyDescent="0.25">
      <c r="A617" s="131"/>
      <c r="B617" s="131"/>
      <c r="C617" s="131"/>
      <c r="D617" s="131"/>
      <c r="E617" s="131"/>
    </row>
    <row r="618" spans="1:5" ht="10.5" hidden="1" customHeight="1" x14ac:dyDescent="0.25">
      <c r="A618" s="131"/>
      <c r="B618" s="131"/>
      <c r="C618" s="131"/>
      <c r="D618" s="131"/>
      <c r="E618" s="131"/>
    </row>
    <row r="619" spans="1:5" ht="10.5" hidden="1" customHeight="1" x14ac:dyDescent="0.25">
      <c r="A619" s="131"/>
      <c r="B619" s="131"/>
      <c r="C619" s="131"/>
      <c r="D619" s="131"/>
      <c r="E619" s="131"/>
    </row>
    <row r="620" spans="1:5" ht="10.5" hidden="1" customHeight="1" x14ac:dyDescent="0.25">
      <c r="A620" s="131"/>
      <c r="B620" s="131"/>
      <c r="C620" s="131"/>
      <c r="D620" s="131"/>
      <c r="E620" s="131"/>
    </row>
    <row r="621" spans="1:5" ht="10.5" hidden="1" customHeight="1" x14ac:dyDescent="0.25">
      <c r="A621" s="131"/>
      <c r="B621" s="131"/>
      <c r="C621" s="131"/>
      <c r="D621" s="131"/>
      <c r="E621" s="131"/>
    </row>
    <row r="622" spans="1:5" ht="10.5" hidden="1" customHeight="1" x14ac:dyDescent="0.25">
      <c r="A622" s="131"/>
      <c r="B622" s="131"/>
      <c r="C622" s="131"/>
      <c r="D622" s="131"/>
      <c r="E622" s="131"/>
    </row>
    <row r="623" spans="1:5" ht="10.5" hidden="1" customHeight="1" x14ac:dyDescent="0.25">
      <c r="A623" s="131"/>
      <c r="B623" s="131"/>
      <c r="C623" s="131"/>
      <c r="D623" s="131"/>
      <c r="E623" s="131"/>
    </row>
    <row r="624" spans="1:5" ht="10.5" hidden="1" customHeight="1" x14ac:dyDescent="0.25">
      <c r="A624" s="131"/>
      <c r="B624" s="131"/>
      <c r="C624" s="131"/>
      <c r="D624" s="131"/>
      <c r="E624" s="131"/>
    </row>
    <row r="625" spans="1:8" ht="10.5" hidden="1" customHeight="1" x14ac:dyDescent="0.25">
      <c r="A625" s="131"/>
      <c r="B625" s="131"/>
      <c r="C625" s="131"/>
      <c r="D625" s="131"/>
      <c r="E625" s="131"/>
    </row>
    <row r="626" spans="1:8" ht="10.5" hidden="1" customHeight="1" x14ac:dyDescent="0.25">
      <c r="A626" s="131"/>
      <c r="B626" s="131"/>
      <c r="C626" s="131"/>
      <c r="D626" s="131"/>
      <c r="E626" s="131"/>
      <c r="F626" s="1"/>
      <c r="G626" s="1"/>
      <c r="H626" s="2"/>
    </row>
    <row r="627" spans="1:8" ht="10.5" hidden="1" customHeight="1" x14ac:dyDescent="0.25">
      <c r="A627" s="131"/>
      <c r="B627" s="131"/>
      <c r="C627" s="131"/>
      <c r="D627" s="131"/>
      <c r="E627" s="131"/>
      <c r="F627" s="1"/>
      <c r="G627" s="1"/>
      <c r="H627" s="2"/>
    </row>
    <row r="628" spans="1:8" ht="10.5" hidden="1" customHeight="1" x14ac:dyDescent="0.25">
      <c r="A628" s="131"/>
      <c r="B628" s="131"/>
      <c r="C628" s="131"/>
      <c r="D628" s="131"/>
      <c r="E628" s="131"/>
      <c r="F628" s="1"/>
      <c r="G628" s="1"/>
      <c r="H628" s="2"/>
    </row>
    <row r="629" spans="1:8" ht="10.5" hidden="1" customHeight="1" x14ac:dyDescent="0.25">
      <c r="A629" s="131"/>
      <c r="B629" s="131"/>
      <c r="C629" s="131"/>
      <c r="D629" s="131"/>
      <c r="E629" s="131"/>
      <c r="F629" s="1"/>
      <c r="G629" s="1"/>
      <c r="H629" s="2"/>
    </row>
    <row r="630" spans="1:8" ht="10.5" hidden="1" customHeight="1" x14ac:dyDescent="0.25">
      <c r="A630" s="131"/>
      <c r="B630" s="131"/>
      <c r="C630" s="131"/>
      <c r="D630" s="131"/>
      <c r="E630" s="131"/>
      <c r="F630" s="1"/>
      <c r="G630" s="1"/>
      <c r="H630" s="2"/>
    </row>
    <row r="631" spans="1:8" ht="10.5" hidden="1" customHeight="1" x14ac:dyDescent="0.25">
      <c r="A631" s="131"/>
      <c r="B631" s="131"/>
      <c r="C631" s="131"/>
      <c r="D631" s="131"/>
      <c r="E631" s="131"/>
      <c r="F631" s="1"/>
      <c r="G631" s="1"/>
      <c r="H631" s="2"/>
    </row>
    <row r="632" spans="1:8" ht="10.5" hidden="1" customHeight="1" x14ac:dyDescent="0.25">
      <c r="A632" s="131"/>
      <c r="B632" s="131"/>
      <c r="C632" s="131"/>
      <c r="D632" s="131"/>
      <c r="E632" s="131"/>
      <c r="F632" s="1"/>
      <c r="G632" s="1"/>
      <c r="H632" s="2"/>
    </row>
    <row r="633" spans="1:8" ht="10.5" hidden="1" customHeight="1" x14ac:dyDescent="0.25">
      <c r="A633" s="131"/>
      <c r="B633" s="131"/>
      <c r="C633" s="131"/>
      <c r="D633" s="131"/>
      <c r="E633" s="131"/>
      <c r="F633" s="1"/>
      <c r="G633" s="1"/>
      <c r="H633" s="2"/>
    </row>
    <row r="634" spans="1:8" ht="10.5" hidden="1" customHeight="1" x14ac:dyDescent="0.25">
      <c r="A634" s="131"/>
      <c r="B634" s="131"/>
      <c r="C634" s="131"/>
      <c r="D634" s="131"/>
      <c r="E634" s="131"/>
      <c r="F634" s="1"/>
      <c r="G634" s="1"/>
      <c r="H634" s="2"/>
    </row>
    <row r="635" spans="1:8" ht="10.5" hidden="1" customHeight="1" x14ac:dyDescent="0.25">
      <c r="A635" s="131"/>
      <c r="B635" s="131"/>
      <c r="C635" s="131"/>
      <c r="D635" s="131"/>
      <c r="E635" s="131"/>
      <c r="F635" s="1"/>
      <c r="G635" s="1"/>
      <c r="H635" s="2"/>
    </row>
    <row r="636" spans="1:8" ht="10.5" hidden="1" customHeight="1" x14ac:dyDescent="0.25">
      <c r="A636" s="131"/>
      <c r="B636" s="131"/>
      <c r="C636" s="131"/>
      <c r="D636" s="131"/>
      <c r="E636" s="131"/>
      <c r="F636" s="1"/>
      <c r="G636" s="1"/>
      <c r="H636" s="2"/>
    </row>
    <row r="637" spans="1:8" ht="10.5" hidden="1" customHeight="1" x14ac:dyDescent="0.25">
      <c r="A637" s="131"/>
      <c r="B637" s="131"/>
      <c r="C637" s="131"/>
      <c r="D637" s="131"/>
      <c r="E637" s="131"/>
      <c r="F637" s="1"/>
      <c r="G637" s="1"/>
      <c r="H637" s="2"/>
    </row>
    <row r="638" spans="1:8" ht="10.5" hidden="1" customHeight="1" x14ac:dyDescent="0.25">
      <c r="A638" s="131"/>
      <c r="B638" s="131"/>
      <c r="C638" s="131"/>
      <c r="D638" s="131"/>
      <c r="E638" s="131"/>
      <c r="F638" s="1"/>
      <c r="G638" s="1"/>
      <c r="H638" s="2"/>
    </row>
    <row r="639" spans="1:8" ht="10.5" hidden="1" customHeight="1" x14ac:dyDescent="0.25">
      <c r="A639" s="131"/>
      <c r="B639" s="131"/>
      <c r="C639" s="131"/>
      <c r="D639" s="131"/>
      <c r="E639" s="131"/>
      <c r="F639" s="1"/>
      <c r="G639" s="1"/>
      <c r="H639" s="2"/>
    </row>
    <row r="640" spans="1:8" s="129" customFormat="1" ht="12.95" customHeight="1" x14ac:dyDescent="0.25">
      <c r="A640" s="126"/>
      <c r="B640" s="127" t="s">
        <v>114</v>
      </c>
      <c r="C640" s="128" t="str">
        <f>A216</f>
        <v>Bonus 4.0 FAR</v>
      </c>
      <c r="D640" s="126"/>
      <c r="E640" s="126"/>
      <c r="H640" s="130"/>
    </row>
    <row r="641" spans="1:8" ht="10.5" customHeight="1" x14ac:dyDescent="0.25">
      <c r="A641" s="131"/>
      <c r="B641" s="131" t="s">
        <v>115</v>
      </c>
      <c r="C641" s="132">
        <f>H215</f>
        <v>175282.15384615384</v>
      </c>
      <c r="D641" s="131"/>
      <c r="E641" s="131"/>
      <c r="F641" s="1"/>
      <c r="G641" s="1"/>
      <c r="H641" s="2"/>
    </row>
    <row r="642" spans="1:8" ht="10.5" customHeight="1" x14ac:dyDescent="0.25">
      <c r="A642" s="131"/>
      <c r="B642" s="131" t="s">
        <v>116</v>
      </c>
      <c r="C642" s="132">
        <f>H217</f>
        <v>668220</v>
      </c>
      <c r="D642" s="131"/>
      <c r="E642" s="131"/>
    </row>
    <row r="643" spans="1:8" ht="10.5" customHeight="1" x14ac:dyDescent="0.25">
      <c r="A643" s="131"/>
      <c r="B643" s="131" t="s">
        <v>117</v>
      </c>
      <c r="C643" s="132">
        <f>G218</f>
        <v>950</v>
      </c>
      <c r="D643" s="131"/>
      <c r="E643" s="131"/>
    </row>
    <row r="644" spans="1:8" ht="10.5" customHeight="1" x14ac:dyDescent="0.25">
      <c r="A644" s="131"/>
      <c r="B644" s="131" t="s">
        <v>107</v>
      </c>
      <c r="C644" s="132">
        <f>H218</f>
        <v>703.38947368421054</v>
      </c>
      <c r="D644" s="131"/>
      <c r="E644" s="131"/>
    </row>
    <row r="645" spans="1:8" ht="10.5" customHeight="1" x14ac:dyDescent="0.25">
      <c r="A645" s="131"/>
      <c r="B645" s="131" t="s">
        <v>118</v>
      </c>
      <c r="C645" s="132">
        <f>H220</f>
        <v>48</v>
      </c>
      <c r="D645" s="131"/>
      <c r="E645" s="131"/>
    </row>
    <row r="646" spans="1:8" ht="10.5" customHeight="1" x14ac:dyDescent="0.25">
      <c r="A646" s="131"/>
      <c r="B646" s="131" t="s">
        <v>119</v>
      </c>
      <c r="C646" s="132">
        <f>H222</f>
        <v>135</v>
      </c>
      <c r="D646" s="131"/>
      <c r="E646" s="131"/>
    </row>
    <row r="647" spans="1:8" ht="10.5" customHeight="1" x14ac:dyDescent="0.25">
      <c r="A647" s="131"/>
      <c r="B647" s="131" t="s">
        <v>120</v>
      </c>
      <c r="C647" s="132">
        <f>H225</f>
        <v>0</v>
      </c>
      <c r="D647" s="131"/>
      <c r="E647" s="131"/>
    </row>
    <row r="648" spans="1:8" ht="10.5" customHeight="1" x14ac:dyDescent="0.25">
      <c r="A648" s="131"/>
      <c r="B648" s="131"/>
      <c r="C648" s="132"/>
      <c r="D648" s="131"/>
      <c r="E648" s="131"/>
    </row>
    <row r="649" spans="1:8" ht="10.5" customHeight="1" x14ac:dyDescent="0.25">
      <c r="A649" s="131"/>
      <c r="B649" s="133" t="s">
        <v>121</v>
      </c>
      <c r="C649" s="132"/>
      <c r="D649" s="131"/>
      <c r="E649" s="131"/>
    </row>
    <row r="650" spans="1:8" ht="10.5" customHeight="1" x14ac:dyDescent="0.25">
      <c r="A650" s="131"/>
      <c r="B650" s="131" t="s">
        <v>122</v>
      </c>
      <c r="C650" s="134">
        <f>H234</f>
        <v>632597.76000000001</v>
      </c>
      <c r="D650" s="135" t="s">
        <v>123</v>
      </c>
      <c r="E650" s="134">
        <v>1098.26</v>
      </c>
    </row>
    <row r="651" spans="1:8" ht="10.5" customHeight="1" x14ac:dyDescent="0.25">
      <c r="A651" s="131"/>
      <c r="B651" s="131" t="s">
        <v>124</v>
      </c>
      <c r="C651" s="134">
        <f>H235</f>
        <v>819476.58666666667</v>
      </c>
      <c r="D651" s="135" t="s">
        <v>123</v>
      </c>
      <c r="E651" s="134">
        <v>784.93925925925919</v>
      </c>
    </row>
    <row r="652" spans="1:8" ht="10.5" customHeight="1" x14ac:dyDescent="0.25">
      <c r="A652" s="131"/>
      <c r="B652" s="131" t="s">
        <v>125</v>
      </c>
      <c r="C652" s="136">
        <f>H233</f>
        <v>20151504</v>
      </c>
      <c r="D652" s="135" t="s">
        <v>123</v>
      </c>
      <c r="E652" s="134">
        <v>2956.5</v>
      </c>
    </row>
    <row r="653" spans="1:8" ht="10.5" customHeight="1" x14ac:dyDescent="0.25">
      <c r="A653" s="131"/>
      <c r="B653" s="131" t="s">
        <v>126</v>
      </c>
      <c r="C653" s="136">
        <f>H238</f>
        <v>1582626.3157894739</v>
      </c>
      <c r="D653" s="135"/>
      <c r="E653" s="134"/>
    </row>
    <row r="654" spans="1:8" ht="10.5" customHeight="1" x14ac:dyDescent="0.25">
      <c r="A654" s="131"/>
      <c r="B654" s="131" t="s">
        <v>127</v>
      </c>
      <c r="C654" s="136">
        <f>H247</f>
        <v>-1007575.2000000001</v>
      </c>
      <c r="D654" s="135"/>
      <c r="E654" s="134"/>
    </row>
    <row r="655" spans="1:8" ht="10.5" customHeight="1" x14ac:dyDescent="0.25">
      <c r="A655" s="131"/>
      <c r="B655" s="131" t="s">
        <v>128</v>
      </c>
      <c r="C655" s="136">
        <f>H257</f>
        <v>-7548149.1781578949</v>
      </c>
      <c r="D655" s="131"/>
      <c r="E655" s="131"/>
    </row>
    <row r="656" spans="1:8" ht="10.5" customHeight="1" x14ac:dyDescent="0.25">
      <c r="A656" s="131"/>
      <c r="B656" s="131" t="s">
        <v>129</v>
      </c>
      <c r="C656" s="134">
        <f>SUM(C650:C655)</f>
        <v>14630480.284298245</v>
      </c>
      <c r="D656" s="131"/>
      <c r="E656" s="131"/>
    </row>
    <row r="657" spans="1:5" ht="10.5" customHeight="1" x14ac:dyDescent="0.25">
      <c r="A657" s="131"/>
      <c r="B657" s="131"/>
      <c r="C657" s="131"/>
      <c r="D657" s="131"/>
      <c r="E657" s="131"/>
    </row>
    <row r="658" spans="1:5" ht="10.5" customHeight="1" x14ac:dyDescent="0.25">
      <c r="A658" s="131"/>
      <c r="B658" s="133" t="s">
        <v>130</v>
      </c>
      <c r="C658" s="131"/>
      <c r="D658" s="131"/>
      <c r="E658" s="131"/>
    </row>
    <row r="659" spans="1:5" ht="10.5" customHeight="1" x14ac:dyDescent="0.25">
      <c r="A659" s="131"/>
      <c r="B659" s="131" t="s">
        <v>131</v>
      </c>
      <c r="C659" s="136">
        <f>H271+H273</f>
        <v>190597445.68421057</v>
      </c>
      <c r="D659" s="131"/>
      <c r="E659" s="131"/>
    </row>
    <row r="660" spans="1:5" ht="10.5" customHeight="1" x14ac:dyDescent="0.25">
      <c r="A660" s="131"/>
      <c r="B660" s="131" t="s">
        <v>132</v>
      </c>
      <c r="C660" s="136">
        <f>H269</f>
        <v>12269750.76923077</v>
      </c>
      <c r="D660" s="131"/>
      <c r="E660" s="131"/>
    </row>
    <row r="661" spans="1:5" ht="10.5" customHeight="1" x14ac:dyDescent="0.25">
      <c r="A661" s="131"/>
      <c r="B661" s="131" t="s">
        <v>133</v>
      </c>
      <c r="C661" s="136">
        <f>H274</f>
        <v>34400000</v>
      </c>
      <c r="D661" s="131"/>
      <c r="E661" s="131"/>
    </row>
    <row r="662" spans="1:5" ht="10.5" customHeight="1" x14ac:dyDescent="0.25">
      <c r="A662" s="131"/>
      <c r="B662" s="131" t="s">
        <v>113</v>
      </c>
      <c r="C662" s="136">
        <f>H270</f>
        <v>0</v>
      </c>
      <c r="D662" s="131"/>
      <c r="E662" s="131"/>
    </row>
    <row r="663" spans="1:5" ht="10.5" customHeight="1" x14ac:dyDescent="0.25">
      <c r="A663" s="131"/>
      <c r="B663" s="131" t="s">
        <v>134</v>
      </c>
      <c r="C663" s="136">
        <f>SUM(C659:C662)</f>
        <v>237267196.45344135</v>
      </c>
      <c r="D663" s="135" t="s">
        <v>135</v>
      </c>
      <c r="E663" s="136">
        <f>C663/C644</f>
        <v>337319.79981259059</v>
      </c>
    </row>
    <row r="664" spans="1:5" ht="10.5" customHeight="1" x14ac:dyDescent="0.25">
      <c r="A664" s="131"/>
      <c r="B664" s="131"/>
      <c r="C664" s="131"/>
      <c r="D664" s="131"/>
      <c r="E664" s="131"/>
    </row>
    <row r="665" spans="1:5" ht="10.5" customHeight="1" x14ac:dyDescent="0.25">
      <c r="A665" s="131"/>
      <c r="B665" s="133" t="s">
        <v>136</v>
      </c>
      <c r="C665" s="137">
        <f>C656/C663</f>
        <v>6.1662465368107329E-2</v>
      </c>
      <c r="D665" s="131"/>
      <c r="E665" s="131"/>
    </row>
    <row r="666" spans="1:5" ht="10.5" customHeight="1" x14ac:dyDescent="0.25">
      <c r="A666" s="131"/>
      <c r="B666" s="131"/>
      <c r="C666" s="131"/>
      <c r="D666" s="131"/>
      <c r="E666" s="131"/>
    </row>
    <row r="667" spans="1:5" ht="10.5" hidden="1" customHeight="1" x14ac:dyDescent="0.25">
      <c r="A667" s="131"/>
      <c r="B667" s="131"/>
      <c r="C667" s="131"/>
      <c r="D667" s="131"/>
      <c r="E667" s="131"/>
    </row>
    <row r="668" spans="1:5" ht="10.5" hidden="1" customHeight="1" x14ac:dyDescent="0.25">
      <c r="A668" s="131"/>
      <c r="B668" s="131"/>
      <c r="C668" s="131"/>
      <c r="D668" s="131"/>
      <c r="E668" s="131"/>
    </row>
    <row r="669" spans="1:5" ht="10.5" hidden="1" customHeight="1" x14ac:dyDescent="0.25">
      <c r="A669" s="131"/>
      <c r="B669" s="131"/>
      <c r="C669" s="131"/>
      <c r="D669" s="131"/>
      <c r="E669" s="131"/>
    </row>
    <row r="670" spans="1:5" ht="10.5" hidden="1" customHeight="1" x14ac:dyDescent="0.25">
      <c r="A670" s="131"/>
      <c r="B670" s="131"/>
      <c r="C670" s="131"/>
      <c r="D670" s="131"/>
      <c r="E670" s="131"/>
    </row>
    <row r="671" spans="1:5" ht="10.5" hidden="1" customHeight="1" x14ac:dyDescent="0.25">
      <c r="A671" s="131"/>
      <c r="B671" s="131"/>
      <c r="C671" s="131"/>
      <c r="D671" s="131"/>
      <c r="E671" s="131"/>
    </row>
    <row r="672" spans="1:5" ht="10.5" hidden="1" customHeight="1" x14ac:dyDescent="0.25">
      <c r="A672" s="131"/>
      <c r="B672" s="131"/>
      <c r="C672" s="131"/>
      <c r="D672" s="131"/>
      <c r="E672" s="131"/>
    </row>
    <row r="673" spans="1:5" ht="10.5" hidden="1" customHeight="1" x14ac:dyDescent="0.25">
      <c r="A673" s="131"/>
      <c r="B673" s="131"/>
      <c r="C673" s="131"/>
      <c r="D673" s="131"/>
      <c r="E673" s="131"/>
    </row>
    <row r="674" spans="1:5" ht="10.5" hidden="1" customHeight="1" x14ac:dyDescent="0.25">
      <c r="A674" s="131"/>
      <c r="B674" s="131"/>
      <c r="C674" s="131"/>
      <c r="D674" s="131"/>
      <c r="E674" s="131"/>
    </row>
    <row r="675" spans="1:5" ht="10.5" hidden="1" customHeight="1" x14ac:dyDescent="0.25">
      <c r="A675" s="131"/>
      <c r="B675" s="131"/>
      <c r="C675" s="131"/>
      <c r="D675" s="131"/>
      <c r="E675" s="131"/>
    </row>
    <row r="676" spans="1:5" ht="10.5" hidden="1" customHeight="1" x14ac:dyDescent="0.25">
      <c r="A676" s="131"/>
      <c r="B676" s="131"/>
      <c r="C676" s="131"/>
      <c r="D676" s="131"/>
      <c r="E676" s="131"/>
    </row>
    <row r="677" spans="1:5" ht="10.5" hidden="1" customHeight="1" x14ac:dyDescent="0.25">
      <c r="A677" s="131"/>
      <c r="B677" s="131"/>
      <c r="C677" s="131"/>
      <c r="D677" s="131"/>
      <c r="E677" s="131"/>
    </row>
    <row r="678" spans="1:5" ht="10.5" hidden="1" customHeight="1" x14ac:dyDescent="0.25">
      <c r="A678" s="131"/>
      <c r="B678" s="131"/>
      <c r="C678" s="131"/>
      <c r="D678" s="131"/>
      <c r="E678" s="131"/>
    </row>
    <row r="679" spans="1:5" ht="10.5" hidden="1" customHeight="1" x14ac:dyDescent="0.25">
      <c r="A679" s="131"/>
      <c r="B679" s="131"/>
      <c r="C679" s="131"/>
      <c r="D679" s="131"/>
      <c r="E679" s="131"/>
    </row>
    <row r="680" spans="1:5" ht="10.5" hidden="1" customHeight="1" x14ac:dyDescent="0.25">
      <c r="A680" s="131"/>
      <c r="B680" s="131"/>
      <c r="C680" s="131"/>
      <c r="D680" s="131"/>
      <c r="E680" s="131"/>
    </row>
    <row r="681" spans="1:5" ht="10.5" hidden="1" customHeight="1" x14ac:dyDescent="0.25">
      <c r="A681" s="131"/>
      <c r="B681" s="131"/>
      <c r="C681" s="131"/>
      <c r="D681" s="131"/>
      <c r="E681" s="131"/>
    </row>
    <row r="682" spans="1:5" ht="10.5" hidden="1" customHeight="1" x14ac:dyDescent="0.25">
      <c r="A682" s="131"/>
      <c r="B682" s="131"/>
      <c r="C682" s="131"/>
      <c r="D682" s="131"/>
      <c r="E682" s="131"/>
    </row>
    <row r="683" spans="1:5" ht="10.5" hidden="1" customHeight="1" x14ac:dyDescent="0.25">
      <c r="A683" s="131"/>
      <c r="B683" s="131"/>
      <c r="C683" s="131"/>
      <c r="D683" s="131"/>
      <c r="E683" s="131"/>
    </row>
    <row r="684" spans="1:5" ht="10.5" hidden="1" customHeight="1" x14ac:dyDescent="0.25">
      <c r="A684" s="131"/>
      <c r="B684" s="131"/>
      <c r="C684" s="131"/>
      <c r="D684" s="131"/>
      <c r="E684" s="131"/>
    </row>
    <row r="685" spans="1:5" ht="10.5" hidden="1" customHeight="1" x14ac:dyDescent="0.25">
      <c r="A685" s="131"/>
      <c r="B685" s="131"/>
      <c r="C685" s="131"/>
      <c r="D685" s="131"/>
      <c r="E685" s="131"/>
    </row>
    <row r="686" spans="1:5" ht="10.5" hidden="1" customHeight="1" x14ac:dyDescent="0.25">
      <c r="A686" s="131"/>
      <c r="B686" s="131"/>
      <c r="C686" s="131"/>
      <c r="D686" s="131"/>
      <c r="E686" s="131"/>
    </row>
    <row r="687" spans="1:5" ht="10.5" hidden="1" customHeight="1" x14ac:dyDescent="0.25">
      <c r="A687" s="131"/>
      <c r="B687" s="131"/>
      <c r="C687" s="131"/>
      <c r="D687" s="131"/>
      <c r="E687" s="131"/>
    </row>
    <row r="688" spans="1:5" ht="10.5" hidden="1" customHeight="1" x14ac:dyDescent="0.25">
      <c r="A688" s="131"/>
      <c r="B688" s="131"/>
      <c r="C688" s="131"/>
      <c r="D688" s="131"/>
      <c r="E688" s="131"/>
    </row>
    <row r="689" spans="1:5" ht="10.5" hidden="1" customHeight="1" x14ac:dyDescent="0.25">
      <c r="A689" s="131"/>
      <c r="B689" s="131"/>
      <c r="C689" s="131"/>
      <c r="D689" s="131"/>
      <c r="E689" s="131"/>
    </row>
    <row r="690" spans="1:5" ht="10.5" hidden="1" customHeight="1" x14ac:dyDescent="0.25">
      <c r="A690" s="131"/>
      <c r="B690" s="131"/>
      <c r="C690" s="131"/>
      <c r="D690" s="131"/>
      <c r="E690" s="131"/>
    </row>
    <row r="691" spans="1:5" ht="10.5" hidden="1" customHeight="1" x14ac:dyDescent="0.25">
      <c r="A691" s="131"/>
      <c r="B691" s="131"/>
      <c r="C691" s="131"/>
      <c r="D691" s="131"/>
      <c r="E691" s="131"/>
    </row>
    <row r="692" spans="1:5" ht="10.5" hidden="1" customHeight="1" x14ac:dyDescent="0.25">
      <c r="A692" s="131"/>
      <c r="B692" s="131"/>
      <c r="C692" s="131"/>
      <c r="D692" s="131"/>
      <c r="E692" s="131"/>
    </row>
    <row r="693" spans="1:5" ht="10.5" hidden="1" customHeight="1" x14ac:dyDescent="0.25">
      <c r="A693" s="131"/>
      <c r="B693" s="131"/>
      <c r="C693" s="131"/>
      <c r="D693" s="131"/>
      <c r="E693" s="131"/>
    </row>
    <row r="694" spans="1:5" ht="10.5" hidden="1" customHeight="1" x14ac:dyDescent="0.25">
      <c r="A694" s="131"/>
      <c r="B694" s="131"/>
      <c r="C694" s="131"/>
      <c r="D694" s="131"/>
      <c r="E694" s="131"/>
    </row>
    <row r="695" spans="1:5" ht="10.5" hidden="1" customHeight="1" x14ac:dyDescent="0.25">
      <c r="A695" s="131"/>
      <c r="B695" s="131"/>
      <c r="C695" s="131"/>
      <c r="D695" s="131"/>
      <c r="E695" s="131"/>
    </row>
    <row r="696" spans="1:5" ht="10.5" hidden="1" customHeight="1" x14ac:dyDescent="0.25">
      <c r="A696" s="131"/>
      <c r="B696" s="131"/>
      <c r="C696" s="131"/>
      <c r="D696" s="131"/>
      <c r="E696" s="131"/>
    </row>
    <row r="697" spans="1:5" ht="10.5" hidden="1" customHeight="1" x14ac:dyDescent="0.25">
      <c r="A697" s="131"/>
      <c r="B697" s="131"/>
      <c r="C697" s="131"/>
      <c r="D697" s="131"/>
      <c r="E697" s="131"/>
    </row>
    <row r="698" spans="1:5" ht="10.5" hidden="1" customHeight="1" x14ac:dyDescent="0.25">
      <c r="A698" s="131"/>
      <c r="B698" s="131"/>
      <c r="C698" s="131"/>
      <c r="D698" s="131"/>
      <c r="E698" s="131"/>
    </row>
    <row r="699" spans="1:5" ht="10.5" hidden="1" customHeight="1" x14ac:dyDescent="0.25">
      <c r="A699" s="131"/>
      <c r="B699" s="131"/>
      <c r="C699" s="131"/>
      <c r="D699" s="131"/>
      <c r="E699" s="131"/>
    </row>
    <row r="700" spans="1:5" ht="10.5" hidden="1" customHeight="1" x14ac:dyDescent="0.25">
      <c r="A700" s="131"/>
      <c r="B700" s="131"/>
      <c r="C700" s="131"/>
      <c r="D700" s="131"/>
      <c r="E700" s="131"/>
    </row>
    <row r="701" spans="1:5" ht="10.5" hidden="1" customHeight="1" x14ac:dyDescent="0.25">
      <c r="A701" s="131"/>
      <c r="B701" s="131"/>
      <c r="C701" s="131"/>
      <c r="D701" s="131"/>
      <c r="E701" s="131"/>
    </row>
    <row r="702" spans="1:5" ht="10.5" hidden="1" customHeight="1" x14ac:dyDescent="0.25">
      <c r="A702" s="131"/>
      <c r="B702" s="131"/>
      <c r="C702" s="131"/>
      <c r="D702" s="131"/>
      <c r="E702" s="131"/>
    </row>
    <row r="703" spans="1:5" ht="10.5" hidden="1" customHeight="1" x14ac:dyDescent="0.25">
      <c r="A703" s="131"/>
      <c r="B703" s="131"/>
      <c r="C703" s="131"/>
      <c r="D703" s="131"/>
      <c r="E703" s="131"/>
    </row>
    <row r="704" spans="1:5" ht="10.5" hidden="1" customHeight="1" x14ac:dyDescent="0.25">
      <c r="A704" s="131"/>
      <c r="B704" s="131"/>
      <c r="C704" s="131"/>
      <c r="D704" s="131"/>
      <c r="E704" s="131"/>
    </row>
    <row r="705" spans="1:8" ht="10.5" hidden="1" customHeight="1" x14ac:dyDescent="0.25">
      <c r="A705" s="131"/>
      <c r="B705" s="131"/>
      <c r="C705" s="131"/>
      <c r="D705" s="131"/>
      <c r="E705" s="131"/>
    </row>
    <row r="706" spans="1:8" ht="10.5" hidden="1" customHeight="1" x14ac:dyDescent="0.25">
      <c r="A706" s="131"/>
      <c r="B706" s="131"/>
      <c r="C706" s="131"/>
      <c r="D706" s="131"/>
      <c r="E706" s="131"/>
      <c r="F706" s="1"/>
      <c r="G706" s="1"/>
      <c r="H706" s="2"/>
    </row>
    <row r="707" spans="1:8" ht="10.5" hidden="1" customHeight="1" x14ac:dyDescent="0.25">
      <c r="A707" s="131"/>
      <c r="B707" s="131"/>
      <c r="C707" s="131"/>
      <c r="D707" s="131"/>
      <c r="E707" s="131"/>
      <c r="F707" s="1"/>
      <c r="G707" s="1"/>
      <c r="H707" s="2"/>
    </row>
    <row r="708" spans="1:8" s="129" customFormat="1" ht="12.95" customHeight="1" x14ac:dyDescent="0.25">
      <c r="A708" s="126"/>
      <c r="B708" s="127" t="s">
        <v>114</v>
      </c>
      <c r="C708" s="128" t="str">
        <f>A284</f>
        <v>Bonus 5.0 FAR</v>
      </c>
      <c r="D708" s="126"/>
      <c r="E708" s="126"/>
      <c r="H708" s="130"/>
    </row>
    <row r="709" spans="1:8" ht="10.5" customHeight="1" x14ac:dyDescent="0.25">
      <c r="A709" s="131"/>
      <c r="B709" s="131" t="s">
        <v>115</v>
      </c>
      <c r="C709" s="132">
        <f>H283</f>
        <v>50375</v>
      </c>
      <c r="D709" s="131"/>
      <c r="E709" s="131"/>
      <c r="F709" s="1"/>
      <c r="G709" s="1"/>
      <c r="H709" s="2"/>
    </row>
    <row r="710" spans="1:8" ht="10.5" customHeight="1" x14ac:dyDescent="0.25">
      <c r="A710" s="131"/>
      <c r="B710" s="131" t="s">
        <v>116</v>
      </c>
      <c r="C710" s="132">
        <f>H285</f>
        <v>239745</v>
      </c>
      <c r="D710" s="131"/>
      <c r="E710" s="131"/>
      <c r="F710" s="1"/>
      <c r="G710" s="1"/>
      <c r="H710" s="2"/>
    </row>
    <row r="711" spans="1:8" ht="10.5" customHeight="1" x14ac:dyDescent="0.25">
      <c r="A711" s="131"/>
      <c r="B711" s="131" t="s">
        <v>117</v>
      </c>
      <c r="C711" s="132">
        <f>G286</f>
        <v>950</v>
      </c>
      <c r="D711" s="131"/>
      <c r="E711" s="131"/>
      <c r="F711" s="1"/>
      <c r="G711" s="1"/>
      <c r="H711" s="2"/>
    </row>
    <row r="712" spans="1:8" ht="10.5" customHeight="1" x14ac:dyDescent="0.25">
      <c r="A712" s="131"/>
      <c r="B712" s="131" t="s">
        <v>107</v>
      </c>
      <c r="C712" s="132">
        <f>H286</f>
        <v>252.36315789473684</v>
      </c>
      <c r="D712" s="131"/>
      <c r="E712" s="131"/>
      <c r="F712" s="1"/>
      <c r="G712" s="1"/>
      <c r="H712" s="2"/>
    </row>
    <row r="713" spans="1:8" ht="10.5" customHeight="1" x14ac:dyDescent="0.25">
      <c r="A713" s="131"/>
      <c r="B713" s="131" t="s">
        <v>118</v>
      </c>
      <c r="C713" s="132">
        <f>H288</f>
        <v>14</v>
      </c>
      <c r="D713" s="131"/>
      <c r="E713" s="131"/>
      <c r="F713" s="1"/>
      <c r="G713" s="1"/>
      <c r="H713" s="2"/>
    </row>
    <row r="714" spans="1:8" ht="10.5" customHeight="1" x14ac:dyDescent="0.25">
      <c r="A714" s="131"/>
      <c r="B714" s="131" t="s">
        <v>119</v>
      </c>
      <c r="C714" s="132">
        <f>H290</f>
        <v>52</v>
      </c>
      <c r="D714" s="131"/>
      <c r="E714" s="131"/>
      <c r="F714" s="1"/>
      <c r="G714" s="1"/>
      <c r="H714" s="2"/>
    </row>
    <row r="715" spans="1:8" ht="10.5" customHeight="1" x14ac:dyDescent="0.25">
      <c r="A715" s="131"/>
      <c r="B715" s="131" t="s">
        <v>120</v>
      </c>
      <c r="C715" s="132">
        <f>H293</f>
        <v>0</v>
      </c>
      <c r="D715" s="131"/>
      <c r="E715" s="131"/>
      <c r="F715" s="1"/>
      <c r="G715" s="1"/>
      <c r="H715" s="2"/>
    </row>
    <row r="716" spans="1:8" ht="10.5" customHeight="1" x14ac:dyDescent="0.25">
      <c r="A716" s="131"/>
      <c r="B716" s="131"/>
      <c r="C716" s="132"/>
      <c r="D716" s="131"/>
      <c r="E716" s="131"/>
      <c r="F716" s="1"/>
      <c r="G716" s="1"/>
      <c r="H716" s="2"/>
    </row>
    <row r="717" spans="1:8" ht="10.5" customHeight="1" x14ac:dyDescent="0.25">
      <c r="A717" s="131"/>
      <c r="B717" s="133" t="s">
        <v>121</v>
      </c>
      <c r="C717" s="132"/>
      <c r="D717" s="131"/>
      <c r="E717" s="131"/>
      <c r="F717" s="1"/>
      <c r="G717" s="1"/>
      <c r="H717" s="2"/>
    </row>
    <row r="718" spans="1:8" ht="10.5" customHeight="1" x14ac:dyDescent="0.25">
      <c r="A718" s="131"/>
      <c r="B718" s="131" t="s">
        <v>122</v>
      </c>
      <c r="C718" s="134">
        <f>H302</f>
        <v>184507.68</v>
      </c>
      <c r="D718" s="135" t="s">
        <v>123</v>
      </c>
      <c r="E718" s="134">
        <v>1098.26</v>
      </c>
      <c r="F718" s="1"/>
      <c r="G718" s="1"/>
      <c r="H718" s="2"/>
    </row>
    <row r="719" spans="1:8" ht="10.5" customHeight="1" x14ac:dyDescent="0.25">
      <c r="A719" s="131"/>
      <c r="B719" s="131" t="s">
        <v>124</v>
      </c>
      <c r="C719" s="134">
        <f>H303</f>
        <v>357932.30222222221</v>
      </c>
      <c r="D719" s="135" t="s">
        <v>123</v>
      </c>
      <c r="E719" s="134">
        <v>784.93925925925919</v>
      </c>
      <c r="F719" s="1"/>
      <c r="G719" s="1"/>
      <c r="H719" s="2"/>
    </row>
    <row r="720" spans="1:8" ht="10.5" customHeight="1" x14ac:dyDescent="0.25">
      <c r="A720" s="131"/>
      <c r="B720" s="131" t="s">
        <v>125</v>
      </c>
      <c r="C720" s="136">
        <f>H301</f>
        <v>7095600</v>
      </c>
      <c r="D720" s="135" t="s">
        <v>123</v>
      </c>
      <c r="E720" s="134">
        <v>2956.5</v>
      </c>
      <c r="F720" s="1"/>
      <c r="G720" s="1"/>
      <c r="H720" s="2"/>
    </row>
    <row r="721" spans="1:8" ht="10.5" customHeight="1" x14ac:dyDescent="0.25">
      <c r="A721" s="131"/>
      <c r="B721" s="131" t="s">
        <v>126</v>
      </c>
      <c r="C721" s="136">
        <f>H306</f>
        <v>567817.10526315798</v>
      </c>
      <c r="D721" s="135"/>
      <c r="E721" s="134"/>
      <c r="F721" s="1"/>
      <c r="G721" s="1"/>
      <c r="H721" s="2"/>
    </row>
    <row r="722" spans="1:8" ht="10.5" customHeight="1" x14ac:dyDescent="0.25">
      <c r="A722" s="131"/>
      <c r="B722" s="131" t="s">
        <v>127</v>
      </c>
      <c r="C722" s="136">
        <f>H315</f>
        <v>-354780</v>
      </c>
      <c r="D722" s="135"/>
      <c r="E722" s="134"/>
    </row>
    <row r="723" spans="1:8" ht="10.5" customHeight="1" x14ac:dyDescent="0.25">
      <c r="A723" s="131"/>
      <c r="B723" s="131" t="s">
        <v>128</v>
      </c>
      <c r="C723" s="136">
        <f>H325</f>
        <v>-2691557.4223026312</v>
      </c>
      <c r="D723" s="131"/>
      <c r="E723" s="131"/>
    </row>
    <row r="724" spans="1:8" ht="10.5" customHeight="1" x14ac:dyDescent="0.25">
      <c r="A724" s="131"/>
      <c r="B724" s="131" t="s">
        <v>129</v>
      </c>
      <c r="C724" s="134">
        <f>SUM(C718:C723)</f>
        <v>5159519.6651827488</v>
      </c>
      <c r="D724" s="131"/>
      <c r="E724" s="131"/>
    </row>
    <row r="725" spans="1:8" ht="10.5" customHeight="1" x14ac:dyDescent="0.25">
      <c r="A725" s="131"/>
      <c r="B725" s="131"/>
      <c r="C725" s="131"/>
      <c r="D725" s="131"/>
      <c r="E725" s="131"/>
    </row>
    <row r="726" spans="1:8" ht="10.5" customHeight="1" x14ac:dyDescent="0.25">
      <c r="A726" s="131"/>
      <c r="B726" s="133" t="s">
        <v>130</v>
      </c>
      <c r="C726" s="131"/>
      <c r="D726" s="131"/>
      <c r="E726" s="131"/>
    </row>
    <row r="727" spans="1:8" ht="10.5" customHeight="1" x14ac:dyDescent="0.25">
      <c r="A727" s="131"/>
      <c r="B727" s="131" t="s">
        <v>131</v>
      </c>
      <c r="C727" s="136">
        <f>H339+H341</f>
        <v>68382844.894736856</v>
      </c>
      <c r="D727" s="131"/>
      <c r="E727" s="131"/>
    </row>
    <row r="728" spans="1:8" ht="10.5" customHeight="1" x14ac:dyDescent="0.25">
      <c r="A728" s="131"/>
      <c r="B728" s="131" t="s">
        <v>132</v>
      </c>
      <c r="C728" s="136">
        <f>H337</f>
        <v>3526250</v>
      </c>
      <c r="D728" s="131"/>
      <c r="E728" s="131"/>
    </row>
    <row r="729" spans="1:8" ht="10.5" customHeight="1" x14ac:dyDescent="0.25">
      <c r="A729" s="131"/>
      <c r="B729" s="131" t="s">
        <v>133</v>
      </c>
      <c r="C729" s="136">
        <f>H342</f>
        <v>12400000</v>
      </c>
      <c r="D729" s="131"/>
      <c r="E729" s="131"/>
    </row>
    <row r="730" spans="1:8" ht="10.5" customHeight="1" x14ac:dyDescent="0.25">
      <c r="A730" s="131"/>
      <c r="B730" s="131" t="s">
        <v>113</v>
      </c>
      <c r="C730" s="136">
        <f>H338</f>
        <v>0</v>
      </c>
      <c r="D730" s="131"/>
      <c r="E730" s="131"/>
    </row>
    <row r="731" spans="1:8" ht="10.5" customHeight="1" x14ac:dyDescent="0.25">
      <c r="A731" s="131"/>
      <c r="B731" s="131" t="s">
        <v>134</v>
      </c>
      <c r="C731" s="136">
        <f>SUM(C727:C730)</f>
        <v>84309094.894736856</v>
      </c>
      <c r="D731" s="135" t="s">
        <v>135</v>
      </c>
      <c r="E731" s="136">
        <f>C731/C712</f>
        <v>334078.45898767444</v>
      </c>
    </row>
    <row r="732" spans="1:8" ht="10.5" customHeight="1" x14ac:dyDescent="0.25">
      <c r="A732" s="131"/>
      <c r="B732" s="131"/>
      <c r="C732" s="131"/>
      <c r="D732" s="131"/>
      <c r="E732" s="131"/>
    </row>
    <row r="733" spans="1:8" ht="10.5" customHeight="1" x14ac:dyDescent="0.25">
      <c r="A733" s="131"/>
      <c r="B733" s="133" t="s">
        <v>136</v>
      </c>
      <c r="C733" s="137">
        <f>C724/C731</f>
        <v>6.1197664043536555E-2</v>
      </c>
      <c r="D733" s="131"/>
      <c r="E733" s="131"/>
    </row>
    <row r="734" spans="1:8" ht="10.5" customHeight="1" x14ac:dyDescent="0.25">
      <c r="A734" s="131"/>
      <c r="B734" s="131"/>
      <c r="C734" s="131"/>
      <c r="D734" s="131"/>
      <c r="E734" s="131"/>
    </row>
    <row r="735" spans="1:8" ht="10.5" hidden="1" customHeight="1" x14ac:dyDescent="0.25">
      <c r="A735" s="131"/>
      <c r="B735" s="131"/>
      <c r="C735" s="131"/>
      <c r="D735" s="131"/>
      <c r="E735" s="131"/>
    </row>
    <row r="736" spans="1:8" ht="10.5" hidden="1" customHeight="1" x14ac:dyDescent="0.25">
      <c r="A736" s="131"/>
      <c r="B736" s="131"/>
      <c r="C736" s="131"/>
      <c r="D736" s="131"/>
      <c r="E736" s="131"/>
    </row>
    <row r="737" spans="1:5" ht="10.5" hidden="1" customHeight="1" x14ac:dyDescent="0.25">
      <c r="A737" s="131"/>
      <c r="B737" s="131"/>
      <c r="C737" s="131"/>
      <c r="D737" s="131"/>
      <c r="E737" s="131"/>
    </row>
    <row r="738" spans="1:5" ht="10.5" hidden="1" customHeight="1" x14ac:dyDescent="0.25">
      <c r="A738" s="131"/>
      <c r="B738" s="131"/>
      <c r="C738" s="131"/>
      <c r="D738" s="131"/>
      <c r="E738" s="131"/>
    </row>
    <row r="739" spans="1:5" ht="10.5" hidden="1" customHeight="1" x14ac:dyDescent="0.25">
      <c r="A739" s="131"/>
      <c r="B739" s="131"/>
      <c r="C739" s="131"/>
      <c r="D739" s="131"/>
      <c r="E739" s="131"/>
    </row>
    <row r="740" spans="1:5" ht="10.5" hidden="1" customHeight="1" x14ac:dyDescent="0.25">
      <c r="A740" s="131"/>
      <c r="B740" s="131"/>
      <c r="C740" s="131"/>
      <c r="D740" s="131"/>
      <c r="E740" s="131"/>
    </row>
    <row r="741" spans="1:5" ht="10.5" hidden="1" customHeight="1" x14ac:dyDescent="0.25">
      <c r="A741" s="131"/>
      <c r="B741" s="131"/>
      <c r="C741" s="131"/>
      <c r="D741" s="131"/>
      <c r="E741" s="131"/>
    </row>
    <row r="742" spans="1:5" ht="10.5" hidden="1" customHeight="1" x14ac:dyDescent="0.25">
      <c r="A742" s="131"/>
      <c r="B742" s="131"/>
      <c r="C742" s="131"/>
      <c r="D742" s="131"/>
      <c r="E742" s="131"/>
    </row>
    <row r="743" spans="1:5" ht="10.5" hidden="1" customHeight="1" x14ac:dyDescent="0.25">
      <c r="A743" s="131"/>
      <c r="B743" s="131"/>
      <c r="C743" s="131"/>
      <c r="D743" s="131"/>
      <c r="E743" s="131"/>
    </row>
    <row r="744" spans="1:5" ht="10.5" hidden="1" customHeight="1" x14ac:dyDescent="0.25">
      <c r="A744" s="131"/>
      <c r="B744" s="131"/>
      <c r="C744" s="131"/>
      <c r="D744" s="131"/>
      <c r="E744" s="131"/>
    </row>
    <row r="745" spans="1:5" ht="10.5" hidden="1" customHeight="1" x14ac:dyDescent="0.25">
      <c r="A745" s="131"/>
      <c r="B745" s="131"/>
      <c r="C745" s="131"/>
      <c r="D745" s="131"/>
      <c r="E745" s="131"/>
    </row>
    <row r="746" spans="1:5" ht="10.5" hidden="1" customHeight="1" x14ac:dyDescent="0.25">
      <c r="A746" s="131"/>
      <c r="B746" s="131"/>
      <c r="C746" s="131"/>
      <c r="D746" s="131"/>
      <c r="E746" s="131"/>
    </row>
    <row r="747" spans="1:5" ht="10.5" hidden="1" customHeight="1" x14ac:dyDescent="0.25">
      <c r="A747" s="131"/>
      <c r="B747" s="131"/>
      <c r="C747" s="131"/>
      <c r="D747" s="131"/>
      <c r="E747" s="131"/>
    </row>
    <row r="748" spans="1:5" ht="10.5" hidden="1" customHeight="1" x14ac:dyDescent="0.25">
      <c r="A748" s="131"/>
      <c r="B748" s="131"/>
      <c r="C748" s="131"/>
      <c r="D748" s="131"/>
      <c r="E748" s="131"/>
    </row>
    <row r="749" spans="1:5" ht="10.5" hidden="1" customHeight="1" x14ac:dyDescent="0.25">
      <c r="A749" s="131"/>
      <c r="B749" s="131"/>
      <c r="C749" s="131"/>
      <c r="D749" s="131"/>
      <c r="E749" s="131"/>
    </row>
    <row r="750" spans="1:5" ht="10.5" hidden="1" customHeight="1" x14ac:dyDescent="0.25">
      <c r="A750" s="131"/>
      <c r="B750" s="131"/>
      <c r="C750" s="131"/>
      <c r="D750" s="131"/>
      <c r="E750" s="131"/>
    </row>
    <row r="751" spans="1:5" ht="10.5" hidden="1" customHeight="1" x14ac:dyDescent="0.25">
      <c r="A751" s="131"/>
      <c r="B751" s="131"/>
      <c r="C751" s="131"/>
      <c r="D751" s="131"/>
      <c r="E751" s="131"/>
    </row>
    <row r="752" spans="1:5" ht="10.5" hidden="1" customHeight="1" x14ac:dyDescent="0.25">
      <c r="A752" s="131"/>
      <c r="B752" s="131"/>
      <c r="C752" s="131"/>
      <c r="D752" s="131"/>
      <c r="E752" s="131"/>
    </row>
    <row r="753" spans="1:5" ht="10.5" hidden="1" customHeight="1" x14ac:dyDescent="0.25">
      <c r="A753" s="131"/>
      <c r="B753" s="131"/>
      <c r="C753" s="131"/>
      <c r="D753" s="131"/>
      <c r="E753" s="131"/>
    </row>
    <row r="754" spans="1:5" ht="10.5" hidden="1" customHeight="1" x14ac:dyDescent="0.25">
      <c r="A754" s="131"/>
      <c r="B754" s="131"/>
      <c r="C754" s="131"/>
      <c r="D754" s="131"/>
      <c r="E754" s="131"/>
    </row>
    <row r="755" spans="1:5" ht="10.5" hidden="1" customHeight="1" x14ac:dyDescent="0.25">
      <c r="A755" s="131"/>
      <c r="B755" s="131"/>
      <c r="C755" s="131"/>
      <c r="D755" s="131"/>
      <c r="E755" s="131"/>
    </row>
    <row r="756" spans="1:5" ht="10.5" hidden="1" customHeight="1" x14ac:dyDescent="0.25">
      <c r="A756" s="131"/>
      <c r="B756" s="131"/>
      <c r="C756" s="131"/>
      <c r="D756" s="131"/>
      <c r="E756" s="131"/>
    </row>
    <row r="757" spans="1:5" ht="10.5" hidden="1" customHeight="1" x14ac:dyDescent="0.25">
      <c r="A757" s="131"/>
      <c r="B757" s="131"/>
      <c r="C757" s="131"/>
      <c r="D757" s="131"/>
      <c r="E757" s="131"/>
    </row>
    <row r="758" spans="1:5" ht="10.5" hidden="1" customHeight="1" x14ac:dyDescent="0.25">
      <c r="A758" s="131"/>
      <c r="B758" s="131"/>
      <c r="C758" s="131"/>
      <c r="D758" s="131"/>
      <c r="E758" s="131"/>
    </row>
    <row r="759" spans="1:5" ht="10.5" hidden="1" customHeight="1" x14ac:dyDescent="0.25">
      <c r="A759" s="131"/>
      <c r="B759" s="131"/>
      <c r="C759" s="131"/>
      <c r="D759" s="131"/>
      <c r="E759" s="131"/>
    </row>
    <row r="760" spans="1:5" ht="10.5" hidden="1" customHeight="1" x14ac:dyDescent="0.25">
      <c r="A760" s="131"/>
      <c r="B760" s="131"/>
      <c r="C760" s="131"/>
      <c r="D760" s="131"/>
      <c r="E760" s="131"/>
    </row>
    <row r="761" spans="1:5" ht="10.5" hidden="1" customHeight="1" x14ac:dyDescent="0.25">
      <c r="A761" s="131"/>
      <c r="B761" s="131"/>
      <c r="C761" s="131"/>
      <c r="D761" s="131"/>
      <c r="E761" s="131"/>
    </row>
    <row r="762" spans="1:5" ht="10.5" hidden="1" customHeight="1" x14ac:dyDescent="0.25">
      <c r="A762" s="131"/>
      <c r="B762" s="131"/>
      <c r="C762" s="131"/>
      <c r="D762" s="131"/>
      <c r="E762" s="131"/>
    </row>
    <row r="763" spans="1:5" ht="10.5" hidden="1" customHeight="1" x14ac:dyDescent="0.25">
      <c r="A763" s="131"/>
      <c r="B763" s="131"/>
      <c r="C763" s="131"/>
      <c r="D763" s="131"/>
      <c r="E763" s="131"/>
    </row>
    <row r="764" spans="1:5" ht="10.5" hidden="1" customHeight="1" x14ac:dyDescent="0.25">
      <c r="A764" s="131"/>
      <c r="B764" s="131"/>
      <c r="C764" s="131"/>
      <c r="D764" s="131"/>
      <c r="E764" s="131"/>
    </row>
    <row r="765" spans="1:5" ht="10.5" hidden="1" customHeight="1" x14ac:dyDescent="0.25">
      <c r="A765" s="131"/>
      <c r="B765" s="131"/>
      <c r="C765" s="131"/>
      <c r="D765" s="131"/>
      <c r="E765" s="131"/>
    </row>
    <row r="766" spans="1:5" ht="10.5" hidden="1" customHeight="1" x14ac:dyDescent="0.25">
      <c r="A766" s="131"/>
      <c r="B766" s="131"/>
      <c r="C766" s="131"/>
      <c r="D766" s="131"/>
      <c r="E766" s="131"/>
    </row>
    <row r="767" spans="1:5" ht="10.5" hidden="1" customHeight="1" x14ac:dyDescent="0.25">
      <c r="A767" s="131"/>
      <c r="B767" s="131"/>
      <c r="C767" s="131"/>
      <c r="D767" s="131"/>
      <c r="E767" s="131"/>
    </row>
    <row r="768" spans="1:5" ht="10.5" hidden="1" customHeight="1" x14ac:dyDescent="0.25">
      <c r="A768" s="131"/>
      <c r="B768" s="131"/>
      <c r="C768" s="131"/>
      <c r="D768" s="131"/>
      <c r="E768" s="131"/>
    </row>
    <row r="769" spans="1:8" ht="10.5" hidden="1" customHeight="1" x14ac:dyDescent="0.25">
      <c r="A769" s="131"/>
      <c r="B769" s="131"/>
      <c r="C769" s="131"/>
      <c r="D769" s="131"/>
      <c r="E769" s="131"/>
    </row>
    <row r="770" spans="1:8" ht="10.5" hidden="1" customHeight="1" x14ac:dyDescent="0.25">
      <c r="A770" s="131"/>
      <c r="B770" s="131"/>
      <c r="C770" s="131"/>
      <c r="D770" s="131"/>
      <c r="E770" s="131"/>
      <c r="F770" s="1"/>
      <c r="G770" s="1"/>
      <c r="H770" s="2"/>
    </row>
    <row r="771" spans="1:8" ht="10.5" hidden="1" customHeight="1" x14ac:dyDescent="0.25">
      <c r="A771" s="131"/>
      <c r="B771" s="131"/>
      <c r="C771" s="131"/>
      <c r="D771" s="131"/>
      <c r="E771" s="131"/>
      <c r="F771" s="1"/>
      <c r="G771" s="1"/>
      <c r="H771" s="2"/>
    </row>
    <row r="772" spans="1:8" ht="10.5" hidden="1" customHeight="1" x14ac:dyDescent="0.25">
      <c r="A772" s="131"/>
      <c r="B772" s="131"/>
      <c r="C772" s="131"/>
      <c r="D772" s="131"/>
      <c r="E772" s="131"/>
      <c r="F772" s="1"/>
      <c r="G772" s="1"/>
      <c r="H772" s="2"/>
    </row>
    <row r="773" spans="1:8" ht="10.5" hidden="1" customHeight="1" x14ac:dyDescent="0.25">
      <c r="A773" s="131"/>
      <c r="B773" s="131"/>
      <c r="C773" s="131"/>
      <c r="D773" s="131"/>
      <c r="E773" s="131"/>
      <c r="F773" s="1"/>
      <c r="G773" s="1"/>
      <c r="H773" s="2"/>
    </row>
    <row r="774" spans="1:8" ht="10.5" hidden="1" customHeight="1" x14ac:dyDescent="0.25">
      <c r="A774" s="131"/>
      <c r="B774" s="131"/>
      <c r="C774" s="131"/>
      <c r="D774" s="131"/>
      <c r="E774" s="131"/>
      <c r="F774" s="1"/>
      <c r="G774" s="1"/>
      <c r="H774" s="2"/>
    </row>
    <row r="775" spans="1:8" ht="10.5" hidden="1" customHeight="1" x14ac:dyDescent="0.25">
      <c r="A775" s="131"/>
      <c r="B775" s="131"/>
      <c r="C775" s="131"/>
      <c r="D775" s="131"/>
      <c r="E775" s="131"/>
      <c r="F775" s="1"/>
      <c r="G775" s="1"/>
      <c r="H775" s="2"/>
    </row>
    <row r="776" spans="1:8" s="129" customFormat="1" ht="12.95" customHeight="1" x14ac:dyDescent="0.25">
      <c r="A776" s="126"/>
      <c r="B776" s="127" t="s">
        <v>114</v>
      </c>
      <c r="C776" s="128" t="str">
        <f>A352</f>
        <v>Bonus 6.0 FAR</v>
      </c>
      <c r="D776" s="126"/>
      <c r="E776" s="126"/>
      <c r="H776" s="130"/>
    </row>
    <row r="777" spans="1:8" ht="10.5" customHeight="1" x14ac:dyDescent="0.25">
      <c r="A777" s="131"/>
      <c r="B777" s="131" t="s">
        <v>115</v>
      </c>
      <c r="C777" s="132">
        <f>H351</f>
        <v>38850</v>
      </c>
      <c r="D777" s="131"/>
      <c r="E777" s="131"/>
      <c r="F777" s="1"/>
      <c r="G777" s="1"/>
      <c r="H777" s="2"/>
    </row>
    <row r="778" spans="1:8" ht="10.5" customHeight="1" x14ac:dyDescent="0.25">
      <c r="A778" s="131"/>
      <c r="B778" s="131" t="s">
        <v>116</v>
      </c>
      <c r="C778" s="132">
        <f>H353</f>
        <v>247245</v>
      </c>
      <c r="D778" s="131"/>
      <c r="E778" s="131"/>
      <c r="F778" s="1"/>
      <c r="G778" s="1"/>
      <c r="H778" s="2"/>
    </row>
    <row r="779" spans="1:8" ht="10.5" customHeight="1" x14ac:dyDescent="0.25">
      <c r="A779" s="131"/>
      <c r="B779" s="131" t="s">
        <v>117</v>
      </c>
      <c r="C779" s="132">
        <f>G354</f>
        <v>950</v>
      </c>
      <c r="D779" s="131"/>
      <c r="E779" s="131"/>
      <c r="F779" s="1"/>
      <c r="G779" s="1"/>
      <c r="H779" s="2"/>
    </row>
    <row r="780" spans="1:8" ht="10.5" customHeight="1" x14ac:dyDescent="0.25">
      <c r="A780" s="131"/>
      <c r="B780" s="131" t="s">
        <v>107</v>
      </c>
      <c r="C780" s="132">
        <f>H354</f>
        <v>260.2578947368421</v>
      </c>
      <c r="D780" s="131"/>
      <c r="E780" s="131"/>
      <c r="F780" s="1"/>
      <c r="G780" s="1"/>
      <c r="H780" s="2"/>
    </row>
    <row r="781" spans="1:8" ht="10.5" customHeight="1" x14ac:dyDescent="0.25">
      <c r="A781" s="131"/>
      <c r="B781" s="131" t="s">
        <v>118</v>
      </c>
      <c r="C781" s="132">
        <f>H356</f>
        <v>11</v>
      </c>
      <c r="D781" s="131"/>
      <c r="E781" s="131"/>
      <c r="F781" s="1"/>
      <c r="G781" s="1"/>
      <c r="H781" s="2"/>
    </row>
    <row r="782" spans="1:8" ht="10.5" customHeight="1" x14ac:dyDescent="0.25">
      <c r="A782" s="131"/>
      <c r="B782" s="131" t="s">
        <v>119</v>
      </c>
      <c r="C782" s="132">
        <f>H358</f>
        <v>57</v>
      </c>
      <c r="D782" s="131"/>
      <c r="E782" s="131"/>
      <c r="F782" s="1"/>
      <c r="G782" s="1"/>
      <c r="H782" s="2"/>
    </row>
    <row r="783" spans="1:8" ht="10.5" customHeight="1" x14ac:dyDescent="0.25">
      <c r="A783" s="131"/>
      <c r="B783" s="131" t="s">
        <v>120</v>
      </c>
      <c r="C783" s="132">
        <f>H361</f>
        <v>0</v>
      </c>
      <c r="D783" s="131"/>
      <c r="E783" s="131"/>
      <c r="F783" s="1"/>
      <c r="G783" s="1"/>
      <c r="H783" s="2"/>
    </row>
    <row r="784" spans="1:8" ht="10.5" customHeight="1" x14ac:dyDescent="0.25">
      <c r="A784" s="131"/>
      <c r="B784" s="131"/>
      <c r="C784" s="132"/>
      <c r="D784" s="131"/>
      <c r="E784" s="131"/>
      <c r="F784" s="1"/>
      <c r="G784" s="1"/>
      <c r="H784" s="2"/>
    </row>
    <row r="785" spans="1:8" ht="10.5" customHeight="1" x14ac:dyDescent="0.25">
      <c r="A785" s="131"/>
      <c r="B785" s="133" t="s">
        <v>121</v>
      </c>
      <c r="C785" s="132"/>
      <c r="D785" s="131"/>
      <c r="E785" s="131"/>
      <c r="F785" s="1"/>
      <c r="G785" s="1"/>
      <c r="H785" s="2"/>
    </row>
    <row r="786" spans="1:8" ht="10.5" customHeight="1" x14ac:dyDescent="0.25">
      <c r="A786" s="131"/>
      <c r="B786" s="131" t="s">
        <v>122</v>
      </c>
      <c r="C786" s="134">
        <f>H370</f>
        <v>144970.32</v>
      </c>
      <c r="D786" s="135" t="s">
        <v>123</v>
      </c>
      <c r="E786" s="134">
        <v>1098.26</v>
      </c>
    </row>
    <row r="787" spans="1:8" ht="10.5" customHeight="1" x14ac:dyDescent="0.25">
      <c r="A787" s="131"/>
      <c r="B787" s="131" t="s">
        <v>124</v>
      </c>
      <c r="C787" s="134">
        <f>H371</f>
        <v>433286.47111111111</v>
      </c>
      <c r="D787" s="135" t="s">
        <v>123</v>
      </c>
      <c r="E787" s="134">
        <v>784.93925925925919</v>
      </c>
    </row>
    <row r="788" spans="1:8" ht="10.5" customHeight="1" x14ac:dyDescent="0.25">
      <c r="A788" s="131"/>
      <c r="B788" s="131" t="s">
        <v>125</v>
      </c>
      <c r="C788" s="136">
        <f>H369</f>
        <v>7202034</v>
      </c>
      <c r="D788" s="135" t="s">
        <v>123</v>
      </c>
      <c r="E788" s="134">
        <v>2956.5</v>
      </c>
    </row>
    <row r="789" spans="1:8" ht="10.5" customHeight="1" x14ac:dyDescent="0.25">
      <c r="A789" s="131"/>
      <c r="B789" s="131" t="s">
        <v>126</v>
      </c>
      <c r="C789" s="136">
        <f>H374</f>
        <v>585580.26315789472</v>
      </c>
      <c r="D789" s="135"/>
      <c r="E789" s="134"/>
    </row>
    <row r="790" spans="1:8" ht="10.5" customHeight="1" x14ac:dyDescent="0.25">
      <c r="A790" s="131"/>
      <c r="B790" s="131" t="s">
        <v>127</v>
      </c>
      <c r="C790" s="136">
        <f>H383</f>
        <v>-360101.7</v>
      </c>
      <c r="D790" s="135"/>
      <c r="E790" s="134"/>
    </row>
    <row r="791" spans="1:8" ht="10.5" customHeight="1" x14ac:dyDescent="0.25">
      <c r="A791" s="131"/>
      <c r="B791" s="131" t="s">
        <v>128</v>
      </c>
      <c r="C791" s="136">
        <f>H393</f>
        <v>-2760678.4888815787</v>
      </c>
      <c r="D791" s="131"/>
      <c r="E791" s="131"/>
    </row>
    <row r="792" spans="1:8" ht="10.5" customHeight="1" x14ac:dyDescent="0.25">
      <c r="A792" s="131"/>
      <c r="B792" s="131" t="s">
        <v>129</v>
      </c>
      <c r="C792" s="134">
        <f>SUM(C786:C791)</f>
        <v>5245090.8653874276</v>
      </c>
      <c r="D792" s="131"/>
      <c r="E792" s="131"/>
    </row>
    <row r="793" spans="1:8" ht="10.5" customHeight="1" x14ac:dyDescent="0.25">
      <c r="A793" s="131"/>
      <c r="B793" s="131"/>
      <c r="C793" s="131"/>
      <c r="D793" s="131"/>
      <c r="E793" s="131"/>
    </row>
    <row r="794" spans="1:8" ht="10.5" customHeight="1" x14ac:dyDescent="0.25">
      <c r="A794" s="131"/>
      <c r="B794" s="133" t="s">
        <v>130</v>
      </c>
      <c r="C794" s="131"/>
      <c r="D794" s="131"/>
      <c r="E794" s="131"/>
    </row>
    <row r="795" spans="1:8" ht="10.5" customHeight="1" x14ac:dyDescent="0.25">
      <c r="A795" s="131"/>
      <c r="B795" s="131" t="s">
        <v>131</v>
      </c>
      <c r="C795" s="136">
        <f>H407+H409</f>
        <v>70522081.736842111</v>
      </c>
      <c r="D795" s="131"/>
      <c r="E795" s="131"/>
    </row>
    <row r="796" spans="1:8" ht="10.5" customHeight="1" x14ac:dyDescent="0.25">
      <c r="A796" s="131"/>
      <c r="B796" s="131" t="s">
        <v>132</v>
      </c>
      <c r="C796" s="136">
        <f>H405</f>
        <v>2719500</v>
      </c>
      <c r="D796" s="131"/>
      <c r="E796" s="131"/>
    </row>
    <row r="797" spans="1:8" ht="10.5" customHeight="1" x14ac:dyDescent="0.25">
      <c r="A797" s="131"/>
      <c r="B797" s="131" t="s">
        <v>133</v>
      </c>
      <c r="C797" s="136">
        <f>H410</f>
        <v>12700000</v>
      </c>
      <c r="D797" s="131"/>
      <c r="E797" s="131"/>
    </row>
    <row r="798" spans="1:8" ht="10.5" customHeight="1" x14ac:dyDescent="0.25">
      <c r="A798" s="131"/>
      <c r="B798" s="131" t="s">
        <v>113</v>
      </c>
      <c r="C798" s="136">
        <f>H406</f>
        <v>0</v>
      </c>
      <c r="D798" s="131"/>
      <c r="E798" s="131"/>
    </row>
    <row r="799" spans="1:8" ht="10.5" customHeight="1" x14ac:dyDescent="0.25">
      <c r="A799" s="131"/>
      <c r="B799" s="131" t="s">
        <v>134</v>
      </c>
      <c r="C799" s="136">
        <f>SUM(C795:C798)</f>
        <v>85941581.736842111</v>
      </c>
      <c r="D799" s="135" t="s">
        <v>135</v>
      </c>
      <c r="E799" s="136">
        <f>C799/C780</f>
        <v>330217.00196161703</v>
      </c>
    </row>
    <row r="800" spans="1:8" ht="10.5" customHeight="1" x14ac:dyDescent="0.25">
      <c r="A800" s="131"/>
      <c r="B800" s="131"/>
      <c r="C800" s="131"/>
      <c r="D800" s="131"/>
      <c r="E800" s="131"/>
    </row>
    <row r="801" spans="1:5" ht="10.5" customHeight="1" x14ac:dyDescent="0.25">
      <c r="A801" s="131"/>
      <c r="B801" s="133" t="s">
        <v>136</v>
      </c>
      <c r="C801" s="137">
        <f>C792/C799</f>
        <v>6.1030885857420995E-2</v>
      </c>
      <c r="D801" s="131"/>
      <c r="E801" s="131"/>
    </row>
    <row r="802" spans="1:5" x14ac:dyDescent="0.25">
      <c r="B802" s="118"/>
      <c r="C802" s="139"/>
    </row>
    <row r="803" spans="1:5" x14ac:dyDescent="0.25">
      <c r="B803" s="118"/>
      <c r="C803" s="139"/>
    </row>
    <row r="804" spans="1:5" x14ac:dyDescent="0.25">
      <c r="B804" s="118"/>
      <c r="C804" s="139"/>
    </row>
    <row r="805" spans="1:5" x14ac:dyDescent="0.25">
      <c r="B805" s="1"/>
      <c r="C805" s="1"/>
    </row>
  </sheetData>
  <autoFilter ref="A1:H416"/>
  <pageMargins left="0.7" right="0.7" top="0.75" bottom="0.75" header="0.3" footer="0.3"/>
  <pageSetup scale="68" orientation="portrait" horizontalDpi="1200" verticalDpi="1200" r:id="rId1"/>
  <headerFooter>
    <oddFooter>&amp;L&amp;A&amp;C&amp;F&amp;R&amp;P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5"/>
  <sheetViews>
    <sheetView workbookViewId="0">
      <pane ySplit="1" topLeftCell="A749" activePane="bottomLeft" state="frozen"/>
      <selection pane="bottomLeft" activeCell="D793" sqref="D793"/>
    </sheetView>
  </sheetViews>
  <sheetFormatPr defaultRowHeight="15" x14ac:dyDescent="0.25"/>
  <cols>
    <col min="1" max="1" width="2.28515625" customWidth="1"/>
    <col min="2" max="2" width="31.28515625" customWidth="1"/>
    <col min="3" max="3" width="18.7109375" customWidth="1"/>
    <col min="4" max="4" width="9.28515625" customWidth="1"/>
    <col min="5" max="5" width="7.5703125" customWidth="1"/>
    <col min="6" max="6" width="12.5703125" customWidth="1"/>
    <col min="7" max="7" width="17.28515625" customWidth="1"/>
    <col min="8" max="8" width="19" customWidth="1"/>
    <col min="10" max="10" width="13" customWidth="1"/>
    <col min="11" max="11" width="12.42578125" customWidth="1"/>
    <col min="258" max="258" width="2.28515625" customWidth="1"/>
    <col min="259" max="259" width="16.5703125" customWidth="1"/>
    <col min="260" max="260" width="16" customWidth="1"/>
    <col min="261" max="261" width="14" customWidth="1"/>
    <col min="262" max="262" width="16" customWidth="1"/>
    <col min="263" max="263" width="15.85546875" customWidth="1"/>
    <col min="264" max="264" width="19" customWidth="1"/>
    <col min="267" max="267" width="10.7109375" bestFit="1" customWidth="1"/>
    <col min="514" max="514" width="2.28515625" customWidth="1"/>
    <col min="515" max="515" width="16.5703125" customWidth="1"/>
    <col min="516" max="516" width="16" customWidth="1"/>
    <col min="517" max="517" width="14" customWidth="1"/>
    <col min="518" max="518" width="16" customWidth="1"/>
    <col min="519" max="519" width="15.85546875" customWidth="1"/>
    <col min="520" max="520" width="19" customWidth="1"/>
    <col min="523" max="523" width="10.7109375" bestFit="1" customWidth="1"/>
    <col min="770" max="770" width="2.28515625" customWidth="1"/>
    <col min="771" max="771" width="16.5703125" customWidth="1"/>
    <col min="772" max="772" width="16" customWidth="1"/>
    <col min="773" max="773" width="14" customWidth="1"/>
    <col min="774" max="774" width="16" customWidth="1"/>
    <col min="775" max="775" width="15.85546875" customWidth="1"/>
    <col min="776" max="776" width="19" customWidth="1"/>
    <col min="779" max="779" width="10.7109375" bestFit="1" customWidth="1"/>
    <col min="1026" max="1026" width="2.28515625" customWidth="1"/>
    <col min="1027" max="1027" width="16.5703125" customWidth="1"/>
    <col min="1028" max="1028" width="16" customWidth="1"/>
    <col min="1029" max="1029" width="14" customWidth="1"/>
    <col min="1030" max="1030" width="16" customWidth="1"/>
    <col min="1031" max="1031" width="15.85546875" customWidth="1"/>
    <col min="1032" max="1032" width="19" customWidth="1"/>
    <col min="1035" max="1035" width="10.7109375" bestFit="1" customWidth="1"/>
    <col min="1282" max="1282" width="2.28515625" customWidth="1"/>
    <col min="1283" max="1283" width="16.5703125" customWidth="1"/>
    <col min="1284" max="1284" width="16" customWidth="1"/>
    <col min="1285" max="1285" width="14" customWidth="1"/>
    <col min="1286" max="1286" width="16" customWidth="1"/>
    <col min="1287" max="1287" width="15.85546875" customWidth="1"/>
    <col min="1288" max="1288" width="19" customWidth="1"/>
    <col min="1291" max="1291" width="10.7109375" bestFit="1" customWidth="1"/>
    <col min="1538" max="1538" width="2.28515625" customWidth="1"/>
    <col min="1539" max="1539" width="16.5703125" customWidth="1"/>
    <col min="1540" max="1540" width="16" customWidth="1"/>
    <col min="1541" max="1541" width="14" customWidth="1"/>
    <col min="1542" max="1542" width="16" customWidth="1"/>
    <col min="1543" max="1543" width="15.85546875" customWidth="1"/>
    <col min="1544" max="1544" width="19" customWidth="1"/>
    <col min="1547" max="1547" width="10.7109375" bestFit="1" customWidth="1"/>
    <col min="1794" max="1794" width="2.28515625" customWidth="1"/>
    <col min="1795" max="1795" width="16.5703125" customWidth="1"/>
    <col min="1796" max="1796" width="16" customWidth="1"/>
    <col min="1797" max="1797" width="14" customWidth="1"/>
    <col min="1798" max="1798" width="16" customWidth="1"/>
    <col min="1799" max="1799" width="15.85546875" customWidth="1"/>
    <col min="1800" max="1800" width="19" customWidth="1"/>
    <col min="1803" max="1803" width="10.7109375" bestFit="1" customWidth="1"/>
    <col min="2050" max="2050" width="2.28515625" customWidth="1"/>
    <col min="2051" max="2051" width="16.5703125" customWidth="1"/>
    <col min="2052" max="2052" width="16" customWidth="1"/>
    <col min="2053" max="2053" width="14" customWidth="1"/>
    <col min="2054" max="2054" width="16" customWidth="1"/>
    <col min="2055" max="2055" width="15.85546875" customWidth="1"/>
    <col min="2056" max="2056" width="19" customWidth="1"/>
    <col min="2059" max="2059" width="10.7109375" bestFit="1" customWidth="1"/>
    <col min="2306" max="2306" width="2.28515625" customWidth="1"/>
    <col min="2307" max="2307" width="16.5703125" customWidth="1"/>
    <col min="2308" max="2308" width="16" customWidth="1"/>
    <col min="2309" max="2309" width="14" customWidth="1"/>
    <col min="2310" max="2310" width="16" customWidth="1"/>
    <col min="2311" max="2311" width="15.85546875" customWidth="1"/>
    <col min="2312" max="2312" width="19" customWidth="1"/>
    <col min="2315" max="2315" width="10.7109375" bestFit="1" customWidth="1"/>
    <col min="2562" max="2562" width="2.28515625" customWidth="1"/>
    <col min="2563" max="2563" width="16.5703125" customWidth="1"/>
    <col min="2564" max="2564" width="16" customWidth="1"/>
    <col min="2565" max="2565" width="14" customWidth="1"/>
    <col min="2566" max="2566" width="16" customWidth="1"/>
    <col min="2567" max="2567" width="15.85546875" customWidth="1"/>
    <col min="2568" max="2568" width="19" customWidth="1"/>
    <col min="2571" max="2571" width="10.7109375" bestFit="1" customWidth="1"/>
    <col min="2818" max="2818" width="2.28515625" customWidth="1"/>
    <col min="2819" max="2819" width="16.5703125" customWidth="1"/>
    <col min="2820" max="2820" width="16" customWidth="1"/>
    <col min="2821" max="2821" width="14" customWidth="1"/>
    <col min="2822" max="2822" width="16" customWidth="1"/>
    <col min="2823" max="2823" width="15.85546875" customWidth="1"/>
    <col min="2824" max="2824" width="19" customWidth="1"/>
    <col min="2827" max="2827" width="10.7109375" bestFit="1" customWidth="1"/>
    <col min="3074" max="3074" width="2.28515625" customWidth="1"/>
    <col min="3075" max="3075" width="16.5703125" customWidth="1"/>
    <col min="3076" max="3076" width="16" customWidth="1"/>
    <col min="3077" max="3077" width="14" customWidth="1"/>
    <col min="3078" max="3078" width="16" customWidth="1"/>
    <col min="3079" max="3079" width="15.85546875" customWidth="1"/>
    <col min="3080" max="3080" width="19" customWidth="1"/>
    <col min="3083" max="3083" width="10.7109375" bestFit="1" customWidth="1"/>
    <col min="3330" max="3330" width="2.28515625" customWidth="1"/>
    <col min="3331" max="3331" width="16.5703125" customWidth="1"/>
    <col min="3332" max="3332" width="16" customWidth="1"/>
    <col min="3333" max="3333" width="14" customWidth="1"/>
    <col min="3334" max="3334" width="16" customWidth="1"/>
    <col min="3335" max="3335" width="15.85546875" customWidth="1"/>
    <col min="3336" max="3336" width="19" customWidth="1"/>
    <col min="3339" max="3339" width="10.7109375" bestFit="1" customWidth="1"/>
    <col min="3586" max="3586" width="2.28515625" customWidth="1"/>
    <col min="3587" max="3587" width="16.5703125" customWidth="1"/>
    <col min="3588" max="3588" width="16" customWidth="1"/>
    <col min="3589" max="3589" width="14" customWidth="1"/>
    <col min="3590" max="3590" width="16" customWidth="1"/>
    <col min="3591" max="3591" width="15.85546875" customWidth="1"/>
    <col min="3592" max="3592" width="19" customWidth="1"/>
    <col min="3595" max="3595" width="10.7109375" bestFit="1" customWidth="1"/>
    <col min="3842" max="3842" width="2.28515625" customWidth="1"/>
    <col min="3843" max="3843" width="16.5703125" customWidth="1"/>
    <col min="3844" max="3844" width="16" customWidth="1"/>
    <col min="3845" max="3845" width="14" customWidth="1"/>
    <col min="3846" max="3846" width="16" customWidth="1"/>
    <col min="3847" max="3847" width="15.85546875" customWidth="1"/>
    <col min="3848" max="3848" width="19" customWidth="1"/>
    <col min="3851" max="3851" width="10.7109375" bestFit="1" customWidth="1"/>
    <col min="4098" max="4098" width="2.28515625" customWidth="1"/>
    <col min="4099" max="4099" width="16.5703125" customWidth="1"/>
    <col min="4100" max="4100" width="16" customWidth="1"/>
    <col min="4101" max="4101" width="14" customWidth="1"/>
    <col min="4102" max="4102" width="16" customWidth="1"/>
    <col min="4103" max="4103" width="15.85546875" customWidth="1"/>
    <col min="4104" max="4104" width="19" customWidth="1"/>
    <col min="4107" max="4107" width="10.7109375" bestFit="1" customWidth="1"/>
    <col min="4354" max="4354" width="2.28515625" customWidth="1"/>
    <col min="4355" max="4355" width="16.5703125" customWidth="1"/>
    <col min="4356" max="4356" width="16" customWidth="1"/>
    <col min="4357" max="4357" width="14" customWidth="1"/>
    <col min="4358" max="4358" width="16" customWidth="1"/>
    <col min="4359" max="4359" width="15.85546875" customWidth="1"/>
    <col min="4360" max="4360" width="19" customWidth="1"/>
    <col min="4363" max="4363" width="10.7109375" bestFit="1" customWidth="1"/>
    <col min="4610" max="4610" width="2.28515625" customWidth="1"/>
    <col min="4611" max="4611" width="16.5703125" customWidth="1"/>
    <col min="4612" max="4612" width="16" customWidth="1"/>
    <col min="4613" max="4613" width="14" customWidth="1"/>
    <col min="4614" max="4614" width="16" customWidth="1"/>
    <col min="4615" max="4615" width="15.85546875" customWidth="1"/>
    <col min="4616" max="4616" width="19" customWidth="1"/>
    <col min="4619" max="4619" width="10.7109375" bestFit="1" customWidth="1"/>
    <col min="4866" max="4866" width="2.28515625" customWidth="1"/>
    <col min="4867" max="4867" width="16.5703125" customWidth="1"/>
    <col min="4868" max="4868" width="16" customWidth="1"/>
    <col min="4869" max="4869" width="14" customWidth="1"/>
    <col min="4870" max="4870" width="16" customWidth="1"/>
    <col min="4871" max="4871" width="15.85546875" customWidth="1"/>
    <col min="4872" max="4872" width="19" customWidth="1"/>
    <col min="4875" max="4875" width="10.7109375" bestFit="1" customWidth="1"/>
    <col min="5122" max="5122" width="2.28515625" customWidth="1"/>
    <col min="5123" max="5123" width="16.5703125" customWidth="1"/>
    <col min="5124" max="5124" width="16" customWidth="1"/>
    <col min="5125" max="5125" width="14" customWidth="1"/>
    <col min="5126" max="5126" width="16" customWidth="1"/>
    <col min="5127" max="5127" width="15.85546875" customWidth="1"/>
    <col min="5128" max="5128" width="19" customWidth="1"/>
    <col min="5131" max="5131" width="10.7109375" bestFit="1" customWidth="1"/>
    <col min="5378" max="5378" width="2.28515625" customWidth="1"/>
    <col min="5379" max="5379" width="16.5703125" customWidth="1"/>
    <col min="5380" max="5380" width="16" customWidth="1"/>
    <col min="5381" max="5381" width="14" customWidth="1"/>
    <col min="5382" max="5382" width="16" customWidth="1"/>
    <col min="5383" max="5383" width="15.85546875" customWidth="1"/>
    <col min="5384" max="5384" width="19" customWidth="1"/>
    <col min="5387" max="5387" width="10.7109375" bestFit="1" customWidth="1"/>
    <col min="5634" max="5634" width="2.28515625" customWidth="1"/>
    <col min="5635" max="5635" width="16.5703125" customWidth="1"/>
    <col min="5636" max="5636" width="16" customWidth="1"/>
    <col min="5637" max="5637" width="14" customWidth="1"/>
    <col min="5638" max="5638" width="16" customWidth="1"/>
    <col min="5639" max="5639" width="15.85546875" customWidth="1"/>
    <col min="5640" max="5640" width="19" customWidth="1"/>
    <col min="5643" max="5643" width="10.7109375" bestFit="1" customWidth="1"/>
    <col min="5890" max="5890" width="2.28515625" customWidth="1"/>
    <col min="5891" max="5891" width="16.5703125" customWidth="1"/>
    <col min="5892" max="5892" width="16" customWidth="1"/>
    <col min="5893" max="5893" width="14" customWidth="1"/>
    <col min="5894" max="5894" width="16" customWidth="1"/>
    <col min="5895" max="5895" width="15.85546875" customWidth="1"/>
    <col min="5896" max="5896" width="19" customWidth="1"/>
    <col min="5899" max="5899" width="10.7109375" bestFit="1" customWidth="1"/>
    <col min="6146" max="6146" width="2.28515625" customWidth="1"/>
    <col min="6147" max="6147" width="16.5703125" customWidth="1"/>
    <col min="6148" max="6148" width="16" customWidth="1"/>
    <col min="6149" max="6149" width="14" customWidth="1"/>
    <col min="6150" max="6150" width="16" customWidth="1"/>
    <col min="6151" max="6151" width="15.85546875" customWidth="1"/>
    <col min="6152" max="6152" width="19" customWidth="1"/>
    <col min="6155" max="6155" width="10.7109375" bestFit="1" customWidth="1"/>
    <col min="6402" max="6402" width="2.28515625" customWidth="1"/>
    <col min="6403" max="6403" width="16.5703125" customWidth="1"/>
    <col min="6404" max="6404" width="16" customWidth="1"/>
    <col min="6405" max="6405" width="14" customWidth="1"/>
    <col min="6406" max="6406" width="16" customWidth="1"/>
    <col min="6407" max="6407" width="15.85546875" customWidth="1"/>
    <col min="6408" max="6408" width="19" customWidth="1"/>
    <col min="6411" max="6411" width="10.7109375" bestFit="1" customWidth="1"/>
    <col min="6658" max="6658" width="2.28515625" customWidth="1"/>
    <col min="6659" max="6659" width="16.5703125" customWidth="1"/>
    <col min="6660" max="6660" width="16" customWidth="1"/>
    <col min="6661" max="6661" width="14" customWidth="1"/>
    <col min="6662" max="6662" width="16" customWidth="1"/>
    <col min="6663" max="6663" width="15.85546875" customWidth="1"/>
    <col min="6664" max="6664" width="19" customWidth="1"/>
    <col min="6667" max="6667" width="10.7109375" bestFit="1" customWidth="1"/>
    <col min="6914" max="6914" width="2.28515625" customWidth="1"/>
    <col min="6915" max="6915" width="16.5703125" customWidth="1"/>
    <col min="6916" max="6916" width="16" customWidth="1"/>
    <col min="6917" max="6917" width="14" customWidth="1"/>
    <col min="6918" max="6918" width="16" customWidth="1"/>
    <col min="6919" max="6919" width="15.85546875" customWidth="1"/>
    <col min="6920" max="6920" width="19" customWidth="1"/>
    <col min="6923" max="6923" width="10.7109375" bestFit="1" customWidth="1"/>
    <col min="7170" max="7170" width="2.28515625" customWidth="1"/>
    <col min="7171" max="7171" width="16.5703125" customWidth="1"/>
    <col min="7172" max="7172" width="16" customWidth="1"/>
    <col min="7173" max="7173" width="14" customWidth="1"/>
    <col min="7174" max="7174" width="16" customWidth="1"/>
    <col min="7175" max="7175" width="15.85546875" customWidth="1"/>
    <col min="7176" max="7176" width="19" customWidth="1"/>
    <col min="7179" max="7179" width="10.7109375" bestFit="1" customWidth="1"/>
    <col min="7426" max="7426" width="2.28515625" customWidth="1"/>
    <col min="7427" max="7427" width="16.5703125" customWidth="1"/>
    <col min="7428" max="7428" width="16" customWidth="1"/>
    <col min="7429" max="7429" width="14" customWidth="1"/>
    <col min="7430" max="7430" width="16" customWidth="1"/>
    <col min="7431" max="7431" width="15.85546875" customWidth="1"/>
    <col min="7432" max="7432" width="19" customWidth="1"/>
    <col min="7435" max="7435" width="10.7109375" bestFit="1" customWidth="1"/>
    <col min="7682" max="7682" width="2.28515625" customWidth="1"/>
    <col min="7683" max="7683" width="16.5703125" customWidth="1"/>
    <col min="7684" max="7684" width="16" customWidth="1"/>
    <col min="7685" max="7685" width="14" customWidth="1"/>
    <col min="7686" max="7686" width="16" customWidth="1"/>
    <col min="7687" max="7687" width="15.85546875" customWidth="1"/>
    <col min="7688" max="7688" width="19" customWidth="1"/>
    <col min="7691" max="7691" width="10.7109375" bestFit="1" customWidth="1"/>
    <col min="7938" max="7938" width="2.28515625" customWidth="1"/>
    <col min="7939" max="7939" width="16.5703125" customWidth="1"/>
    <col min="7940" max="7940" width="16" customWidth="1"/>
    <col min="7941" max="7941" width="14" customWidth="1"/>
    <col min="7942" max="7942" width="16" customWidth="1"/>
    <col min="7943" max="7943" width="15.85546875" customWidth="1"/>
    <col min="7944" max="7944" width="19" customWidth="1"/>
    <col min="7947" max="7947" width="10.7109375" bestFit="1" customWidth="1"/>
    <col min="8194" max="8194" width="2.28515625" customWidth="1"/>
    <col min="8195" max="8195" width="16.5703125" customWidth="1"/>
    <col min="8196" max="8196" width="16" customWidth="1"/>
    <col min="8197" max="8197" width="14" customWidth="1"/>
    <col min="8198" max="8198" width="16" customWidth="1"/>
    <col min="8199" max="8199" width="15.85546875" customWidth="1"/>
    <col min="8200" max="8200" width="19" customWidth="1"/>
    <col min="8203" max="8203" width="10.7109375" bestFit="1" customWidth="1"/>
    <col min="8450" max="8450" width="2.28515625" customWidth="1"/>
    <col min="8451" max="8451" width="16.5703125" customWidth="1"/>
    <col min="8452" max="8452" width="16" customWidth="1"/>
    <col min="8453" max="8453" width="14" customWidth="1"/>
    <col min="8454" max="8454" width="16" customWidth="1"/>
    <col min="8455" max="8455" width="15.85546875" customWidth="1"/>
    <col min="8456" max="8456" width="19" customWidth="1"/>
    <col min="8459" max="8459" width="10.7109375" bestFit="1" customWidth="1"/>
    <col min="8706" max="8706" width="2.28515625" customWidth="1"/>
    <col min="8707" max="8707" width="16.5703125" customWidth="1"/>
    <col min="8708" max="8708" width="16" customWidth="1"/>
    <col min="8709" max="8709" width="14" customWidth="1"/>
    <col min="8710" max="8710" width="16" customWidth="1"/>
    <col min="8711" max="8711" width="15.85546875" customWidth="1"/>
    <col min="8712" max="8712" width="19" customWidth="1"/>
    <col min="8715" max="8715" width="10.7109375" bestFit="1" customWidth="1"/>
    <col min="8962" max="8962" width="2.28515625" customWidth="1"/>
    <col min="8963" max="8963" width="16.5703125" customWidth="1"/>
    <col min="8964" max="8964" width="16" customWidth="1"/>
    <col min="8965" max="8965" width="14" customWidth="1"/>
    <col min="8966" max="8966" width="16" customWidth="1"/>
    <col min="8967" max="8967" width="15.85546875" customWidth="1"/>
    <col min="8968" max="8968" width="19" customWidth="1"/>
    <col min="8971" max="8971" width="10.7109375" bestFit="1" customWidth="1"/>
    <col min="9218" max="9218" width="2.28515625" customWidth="1"/>
    <col min="9219" max="9219" width="16.5703125" customWidth="1"/>
    <col min="9220" max="9220" width="16" customWidth="1"/>
    <col min="9221" max="9221" width="14" customWidth="1"/>
    <col min="9222" max="9222" width="16" customWidth="1"/>
    <col min="9223" max="9223" width="15.85546875" customWidth="1"/>
    <col min="9224" max="9224" width="19" customWidth="1"/>
    <col min="9227" max="9227" width="10.7109375" bestFit="1" customWidth="1"/>
    <col min="9474" max="9474" width="2.28515625" customWidth="1"/>
    <col min="9475" max="9475" width="16.5703125" customWidth="1"/>
    <col min="9476" max="9476" width="16" customWidth="1"/>
    <col min="9477" max="9477" width="14" customWidth="1"/>
    <col min="9478" max="9478" width="16" customWidth="1"/>
    <col min="9479" max="9479" width="15.85546875" customWidth="1"/>
    <col min="9480" max="9480" width="19" customWidth="1"/>
    <col min="9483" max="9483" width="10.7109375" bestFit="1" customWidth="1"/>
    <col min="9730" max="9730" width="2.28515625" customWidth="1"/>
    <col min="9731" max="9731" width="16.5703125" customWidth="1"/>
    <col min="9732" max="9732" width="16" customWidth="1"/>
    <col min="9733" max="9733" width="14" customWidth="1"/>
    <col min="9734" max="9734" width="16" customWidth="1"/>
    <col min="9735" max="9735" width="15.85546875" customWidth="1"/>
    <col min="9736" max="9736" width="19" customWidth="1"/>
    <col min="9739" max="9739" width="10.7109375" bestFit="1" customWidth="1"/>
    <col min="9986" max="9986" width="2.28515625" customWidth="1"/>
    <col min="9987" max="9987" width="16.5703125" customWidth="1"/>
    <col min="9988" max="9988" width="16" customWidth="1"/>
    <col min="9989" max="9989" width="14" customWidth="1"/>
    <col min="9990" max="9990" width="16" customWidth="1"/>
    <col min="9991" max="9991" width="15.85546875" customWidth="1"/>
    <col min="9992" max="9992" width="19" customWidth="1"/>
    <col min="9995" max="9995" width="10.7109375" bestFit="1" customWidth="1"/>
    <col min="10242" max="10242" width="2.28515625" customWidth="1"/>
    <col min="10243" max="10243" width="16.5703125" customWidth="1"/>
    <col min="10244" max="10244" width="16" customWidth="1"/>
    <col min="10245" max="10245" width="14" customWidth="1"/>
    <col min="10246" max="10246" width="16" customWidth="1"/>
    <col min="10247" max="10247" width="15.85546875" customWidth="1"/>
    <col min="10248" max="10248" width="19" customWidth="1"/>
    <col min="10251" max="10251" width="10.7109375" bestFit="1" customWidth="1"/>
    <col min="10498" max="10498" width="2.28515625" customWidth="1"/>
    <col min="10499" max="10499" width="16.5703125" customWidth="1"/>
    <col min="10500" max="10500" width="16" customWidth="1"/>
    <col min="10501" max="10501" width="14" customWidth="1"/>
    <col min="10502" max="10502" width="16" customWidth="1"/>
    <col min="10503" max="10503" width="15.85546875" customWidth="1"/>
    <col min="10504" max="10504" width="19" customWidth="1"/>
    <col min="10507" max="10507" width="10.7109375" bestFit="1" customWidth="1"/>
    <col min="10754" max="10754" width="2.28515625" customWidth="1"/>
    <col min="10755" max="10755" width="16.5703125" customWidth="1"/>
    <col min="10756" max="10756" width="16" customWidth="1"/>
    <col min="10757" max="10757" width="14" customWidth="1"/>
    <col min="10758" max="10758" width="16" customWidth="1"/>
    <col min="10759" max="10759" width="15.85546875" customWidth="1"/>
    <col min="10760" max="10760" width="19" customWidth="1"/>
    <col min="10763" max="10763" width="10.7109375" bestFit="1" customWidth="1"/>
    <col min="11010" max="11010" width="2.28515625" customWidth="1"/>
    <col min="11011" max="11011" width="16.5703125" customWidth="1"/>
    <col min="11012" max="11012" width="16" customWidth="1"/>
    <col min="11013" max="11013" width="14" customWidth="1"/>
    <col min="11014" max="11014" width="16" customWidth="1"/>
    <col min="11015" max="11015" width="15.85546875" customWidth="1"/>
    <col min="11016" max="11016" width="19" customWidth="1"/>
    <col min="11019" max="11019" width="10.7109375" bestFit="1" customWidth="1"/>
    <col min="11266" max="11266" width="2.28515625" customWidth="1"/>
    <col min="11267" max="11267" width="16.5703125" customWidth="1"/>
    <col min="11268" max="11268" width="16" customWidth="1"/>
    <col min="11269" max="11269" width="14" customWidth="1"/>
    <col min="11270" max="11270" width="16" customWidth="1"/>
    <col min="11271" max="11271" width="15.85546875" customWidth="1"/>
    <col min="11272" max="11272" width="19" customWidth="1"/>
    <col min="11275" max="11275" width="10.7109375" bestFit="1" customWidth="1"/>
    <col min="11522" max="11522" width="2.28515625" customWidth="1"/>
    <col min="11523" max="11523" width="16.5703125" customWidth="1"/>
    <col min="11524" max="11524" width="16" customWidth="1"/>
    <col min="11525" max="11525" width="14" customWidth="1"/>
    <col min="11526" max="11526" width="16" customWidth="1"/>
    <col min="11527" max="11527" width="15.85546875" customWidth="1"/>
    <col min="11528" max="11528" width="19" customWidth="1"/>
    <col min="11531" max="11531" width="10.7109375" bestFit="1" customWidth="1"/>
    <col min="11778" max="11778" width="2.28515625" customWidth="1"/>
    <col min="11779" max="11779" width="16.5703125" customWidth="1"/>
    <col min="11780" max="11780" width="16" customWidth="1"/>
    <col min="11781" max="11781" width="14" customWidth="1"/>
    <col min="11782" max="11782" width="16" customWidth="1"/>
    <col min="11783" max="11783" width="15.85546875" customWidth="1"/>
    <col min="11784" max="11784" width="19" customWidth="1"/>
    <col min="11787" max="11787" width="10.7109375" bestFit="1" customWidth="1"/>
    <col min="12034" max="12034" width="2.28515625" customWidth="1"/>
    <col min="12035" max="12035" width="16.5703125" customWidth="1"/>
    <col min="12036" max="12036" width="16" customWidth="1"/>
    <col min="12037" max="12037" width="14" customWidth="1"/>
    <col min="12038" max="12038" width="16" customWidth="1"/>
    <col min="12039" max="12039" width="15.85546875" customWidth="1"/>
    <col min="12040" max="12040" width="19" customWidth="1"/>
    <col min="12043" max="12043" width="10.7109375" bestFit="1" customWidth="1"/>
    <col min="12290" max="12290" width="2.28515625" customWidth="1"/>
    <col min="12291" max="12291" width="16.5703125" customWidth="1"/>
    <col min="12292" max="12292" width="16" customWidth="1"/>
    <col min="12293" max="12293" width="14" customWidth="1"/>
    <col min="12294" max="12294" width="16" customWidth="1"/>
    <col min="12295" max="12295" width="15.85546875" customWidth="1"/>
    <col min="12296" max="12296" width="19" customWidth="1"/>
    <col min="12299" max="12299" width="10.7109375" bestFit="1" customWidth="1"/>
    <col min="12546" max="12546" width="2.28515625" customWidth="1"/>
    <col min="12547" max="12547" width="16.5703125" customWidth="1"/>
    <col min="12548" max="12548" width="16" customWidth="1"/>
    <col min="12549" max="12549" width="14" customWidth="1"/>
    <col min="12550" max="12550" width="16" customWidth="1"/>
    <col min="12551" max="12551" width="15.85546875" customWidth="1"/>
    <col min="12552" max="12552" width="19" customWidth="1"/>
    <col min="12555" max="12555" width="10.7109375" bestFit="1" customWidth="1"/>
    <col min="12802" max="12802" width="2.28515625" customWidth="1"/>
    <col min="12803" max="12803" width="16.5703125" customWidth="1"/>
    <col min="12804" max="12804" width="16" customWidth="1"/>
    <col min="12805" max="12805" width="14" customWidth="1"/>
    <col min="12806" max="12806" width="16" customWidth="1"/>
    <col min="12807" max="12807" width="15.85546875" customWidth="1"/>
    <col min="12808" max="12808" width="19" customWidth="1"/>
    <col min="12811" max="12811" width="10.7109375" bestFit="1" customWidth="1"/>
    <col min="13058" max="13058" width="2.28515625" customWidth="1"/>
    <col min="13059" max="13059" width="16.5703125" customWidth="1"/>
    <col min="13060" max="13060" width="16" customWidth="1"/>
    <col min="13061" max="13061" width="14" customWidth="1"/>
    <col min="13062" max="13062" width="16" customWidth="1"/>
    <col min="13063" max="13063" width="15.85546875" customWidth="1"/>
    <col min="13064" max="13064" width="19" customWidth="1"/>
    <col min="13067" max="13067" width="10.7109375" bestFit="1" customWidth="1"/>
    <col min="13314" max="13314" width="2.28515625" customWidth="1"/>
    <col min="13315" max="13315" width="16.5703125" customWidth="1"/>
    <col min="13316" max="13316" width="16" customWidth="1"/>
    <col min="13317" max="13317" width="14" customWidth="1"/>
    <col min="13318" max="13318" width="16" customWidth="1"/>
    <col min="13319" max="13319" width="15.85546875" customWidth="1"/>
    <col min="13320" max="13320" width="19" customWidth="1"/>
    <col min="13323" max="13323" width="10.7109375" bestFit="1" customWidth="1"/>
    <col min="13570" max="13570" width="2.28515625" customWidth="1"/>
    <col min="13571" max="13571" width="16.5703125" customWidth="1"/>
    <col min="13572" max="13572" width="16" customWidth="1"/>
    <col min="13573" max="13573" width="14" customWidth="1"/>
    <col min="13574" max="13574" width="16" customWidth="1"/>
    <col min="13575" max="13575" width="15.85546875" customWidth="1"/>
    <col min="13576" max="13576" width="19" customWidth="1"/>
    <col min="13579" max="13579" width="10.7109375" bestFit="1" customWidth="1"/>
    <col min="13826" max="13826" width="2.28515625" customWidth="1"/>
    <col min="13827" max="13827" width="16.5703125" customWidth="1"/>
    <col min="13828" max="13828" width="16" customWidth="1"/>
    <col min="13829" max="13829" width="14" customWidth="1"/>
    <col min="13830" max="13830" width="16" customWidth="1"/>
    <col min="13831" max="13831" width="15.85546875" customWidth="1"/>
    <col min="13832" max="13832" width="19" customWidth="1"/>
    <col min="13835" max="13835" width="10.7109375" bestFit="1" customWidth="1"/>
    <col min="14082" max="14082" width="2.28515625" customWidth="1"/>
    <col min="14083" max="14083" width="16.5703125" customWidth="1"/>
    <col min="14084" max="14084" width="16" customWidth="1"/>
    <col min="14085" max="14085" width="14" customWidth="1"/>
    <col min="14086" max="14086" width="16" customWidth="1"/>
    <col min="14087" max="14087" width="15.85546875" customWidth="1"/>
    <col min="14088" max="14088" width="19" customWidth="1"/>
    <col min="14091" max="14091" width="10.7109375" bestFit="1" customWidth="1"/>
    <col min="14338" max="14338" width="2.28515625" customWidth="1"/>
    <col min="14339" max="14339" width="16.5703125" customWidth="1"/>
    <col min="14340" max="14340" width="16" customWidth="1"/>
    <col min="14341" max="14341" width="14" customWidth="1"/>
    <col min="14342" max="14342" width="16" customWidth="1"/>
    <col min="14343" max="14343" width="15.85546875" customWidth="1"/>
    <col min="14344" max="14344" width="19" customWidth="1"/>
    <col min="14347" max="14347" width="10.7109375" bestFit="1" customWidth="1"/>
    <col min="14594" max="14594" width="2.28515625" customWidth="1"/>
    <col min="14595" max="14595" width="16.5703125" customWidth="1"/>
    <col min="14596" max="14596" width="16" customWidth="1"/>
    <col min="14597" max="14597" width="14" customWidth="1"/>
    <col min="14598" max="14598" width="16" customWidth="1"/>
    <col min="14599" max="14599" width="15.85546875" customWidth="1"/>
    <col min="14600" max="14600" width="19" customWidth="1"/>
    <col min="14603" max="14603" width="10.7109375" bestFit="1" customWidth="1"/>
    <col min="14850" max="14850" width="2.28515625" customWidth="1"/>
    <col min="14851" max="14851" width="16.5703125" customWidth="1"/>
    <col min="14852" max="14852" width="16" customWidth="1"/>
    <col min="14853" max="14853" width="14" customWidth="1"/>
    <col min="14854" max="14854" width="16" customWidth="1"/>
    <col min="14855" max="14855" width="15.85546875" customWidth="1"/>
    <col min="14856" max="14856" width="19" customWidth="1"/>
    <col min="14859" max="14859" width="10.7109375" bestFit="1" customWidth="1"/>
    <col min="15106" max="15106" width="2.28515625" customWidth="1"/>
    <col min="15107" max="15107" width="16.5703125" customWidth="1"/>
    <col min="15108" max="15108" width="16" customWidth="1"/>
    <col min="15109" max="15109" width="14" customWidth="1"/>
    <col min="15110" max="15110" width="16" customWidth="1"/>
    <col min="15111" max="15111" width="15.85546875" customWidth="1"/>
    <col min="15112" max="15112" width="19" customWidth="1"/>
    <col min="15115" max="15115" width="10.7109375" bestFit="1" customWidth="1"/>
    <col min="15362" max="15362" width="2.28515625" customWidth="1"/>
    <col min="15363" max="15363" width="16.5703125" customWidth="1"/>
    <col min="15364" max="15364" width="16" customWidth="1"/>
    <col min="15365" max="15365" width="14" customWidth="1"/>
    <col min="15366" max="15366" width="16" customWidth="1"/>
    <col min="15367" max="15367" width="15.85546875" customWidth="1"/>
    <col min="15368" max="15368" width="19" customWidth="1"/>
    <col min="15371" max="15371" width="10.7109375" bestFit="1" customWidth="1"/>
    <col min="15618" max="15618" width="2.28515625" customWidth="1"/>
    <col min="15619" max="15619" width="16.5703125" customWidth="1"/>
    <col min="15620" max="15620" width="16" customWidth="1"/>
    <col min="15621" max="15621" width="14" customWidth="1"/>
    <col min="15622" max="15622" width="16" customWidth="1"/>
    <col min="15623" max="15623" width="15.85546875" customWidth="1"/>
    <col min="15624" max="15624" width="19" customWidth="1"/>
    <col min="15627" max="15627" width="10.7109375" bestFit="1" customWidth="1"/>
    <col min="15874" max="15874" width="2.28515625" customWidth="1"/>
    <col min="15875" max="15875" width="16.5703125" customWidth="1"/>
    <col min="15876" max="15876" width="16" customWidth="1"/>
    <col min="15877" max="15877" width="14" customWidth="1"/>
    <col min="15878" max="15878" width="16" customWidth="1"/>
    <col min="15879" max="15879" width="15.85546875" customWidth="1"/>
    <col min="15880" max="15880" width="19" customWidth="1"/>
    <col min="15883" max="15883" width="10.7109375" bestFit="1" customWidth="1"/>
    <col min="16130" max="16130" width="2.28515625" customWidth="1"/>
    <col min="16131" max="16131" width="16.5703125" customWidth="1"/>
    <col min="16132" max="16132" width="16" customWidth="1"/>
    <col min="16133" max="16133" width="14" customWidth="1"/>
    <col min="16134" max="16134" width="16" customWidth="1"/>
    <col min="16135" max="16135" width="15.85546875" customWidth="1"/>
    <col min="16136" max="16136" width="19" customWidth="1"/>
    <col min="16139" max="16139" width="10.7109375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ht="18.75" x14ac:dyDescent="0.3">
      <c r="A2" s="3" t="s">
        <v>0</v>
      </c>
      <c r="B2" s="4"/>
      <c r="C2" s="5"/>
      <c r="D2" s="6" t="s">
        <v>1</v>
      </c>
      <c r="E2" s="7"/>
      <c r="F2" s="7"/>
      <c r="G2" s="8"/>
      <c r="H2" s="9">
        <v>62768</v>
      </c>
      <c r="I2" s="1"/>
      <c r="J2" s="10" t="s">
        <v>2</v>
      </c>
    </row>
    <row r="3" spans="1:10" ht="18.75" x14ac:dyDescent="0.3">
      <c r="A3" s="1"/>
      <c r="B3" s="1"/>
      <c r="C3" s="1"/>
      <c r="D3" s="11" t="s">
        <v>3</v>
      </c>
      <c r="E3" s="12"/>
      <c r="F3" s="13">
        <v>193895</v>
      </c>
      <c r="G3" s="14" t="s">
        <v>4</v>
      </c>
      <c r="H3" s="15">
        <v>3.0890740504715777</v>
      </c>
      <c r="I3" s="1"/>
      <c r="J3" s="16"/>
    </row>
    <row r="4" spans="1:10" ht="18.75" x14ac:dyDescent="0.3">
      <c r="A4" s="1"/>
      <c r="B4" s="1"/>
      <c r="C4" s="1"/>
      <c r="D4" s="11" t="s">
        <v>5</v>
      </c>
      <c r="E4" s="17"/>
      <c r="F4" s="17"/>
      <c r="G4" s="18">
        <v>950</v>
      </c>
      <c r="H4" s="19">
        <v>75</v>
      </c>
      <c r="I4" s="1"/>
      <c r="J4" s="20">
        <f>H4</f>
        <v>75</v>
      </c>
    </row>
    <row r="5" spans="1:10" ht="19.5" thickBot="1" x14ac:dyDescent="0.35">
      <c r="A5" s="1"/>
      <c r="B5" s="1"/>
      <c r="C5" s="1"/>
      <c r="D5" s="21" t="s">
        <v>6</v>
      </c>
      <c r="E5" s="22"/>
      <c r="F5" s="22"/>
      <c r="G5" s="21"/>
      <c r="H5" s="23">
        <v>0</v>
      </c>
      <c r="I5" s="1"/>
      <c r="J5" s="24"/>
    </row>
    <row r="6" spans="1:10" ht="15.75" thickBot="1" x14ac:dyDescent="0.3">
      <c r="A6" s="1"/>
      <c r="B6" s="1"/>
      <c r="C6" s="1"/>
      <c r="D6" s="1"/>
      <c r="E6" s="1"/>
      <c r="F6" s="1"/>
      <c r="G6" s="1"/>
      <c r="H6" s="2"/>
      <c r="I6" s="1"/>
      <c r="J6" s="1"/>
    </row>
    <row r="7" spans="1:10" ht="18.75" x14ac:dyDescent="0.3">
      <c r="A7" s="3" t="s">
        <v>7</v>
      </c>
      <c r="B7" s="4"/>
      <c r="C7" s="5" t="s">
        <v>8</v>
      </c>
      <c r="D7" s="6" t="s">
        <v>9</v>
      </c>
      <c r="E7" s="7"/>
      <c r="F7" s="7"/>
      <c r="G7" s="8" t="s">
        <v>10</v>
      </c>
      <c r="H7" s="25" t="s">
        <v>11</v>
      </c>
      <c r="I7" s="1"/>
      <c r="J7" s="1"/>
    </row>
    <row r="8" spans="1:10" ht="18.75" x14ac:dyDescent="0.3">
      <c r="A8" s="26" t="s">
        <v>12</v>
      </c>
      <c r="B8" s="27"/>
      <c r="C8" s="11"/>
      <c r="D8" s="28" t="s">
        <v>1</v>
      </c>
      <c r="E8" s="12" t="s">
        <v>13</v>
      </c>
      <c r="F8" s="29">
        <v>1</v>
      </c>
      <c r="G8" s="30" t="s">
        <v>14</v>
      </c>
      <c r="H8" s="31">
        <v>157010</v>
      </c>
      <c r="I8" s="1"/>
      <c r="J8" s="1"/>
    </row>
    <row r="9" spans="1:10" ht="18.75" x14ac:dyDescent="0.3">
      <c r="A9" s="26" t="s">
        <v>15</v>
      </c>
      <c r="B9" s="27"/>
      <c r="C9" s="32"/>
      <c r="D9" s="11" t="s">
        <v>16</v>
      </c>
      <c r="E9" s="12"/>
      <c r="F9" s="33"/>
      <c r="G9" s="14" t="s">
        <v>4</v>
      </c>
      <c r="H9" s="15">
        <f>H10/H8</f>
        <v>1.4544296541621553</v>
      </c>
      <c r="I9" s="1"/>
      <c r="J9" s="1"/>
    </row>
    <row r="10" spans="1:10" ht="19.5" thickBot="1" x14ac:dyDescent="0.35">
      <c r="A10" s="34" t="s">
        <v>17</v>
      </c>
      <c r="B10" s="35"/>
      <c r="C10" s="36"/>
      <c r="D10" s="11" t="s">
        <v>18</v>
      </c>
      <c r="E10" s="17"/>
      <c r="F10" s="17"/>
      <c r="G10" s="37" t="s">
        <v>19</v>
      </c>
      <c r="H10" s="31">
        <v>228360</v>
      </c>
      <c r="I10" s="1"/>
      <c r="J10" s="1"/>
    </row>
    <row r="11" spans="1:10" ht="18.75" x14ac:dyDescent="0.3">
      <c r="A11" s="38"/>
      <c r="B11" s="32"/>
      <c r="C11" s="36"/>
      <c r="D11" s="11" t="s">
        <v>5</v>
      </c>
      <c r="E11" s="17"/>
      <c r="F11" s="17"/>
      <c r="G11" s="18">
        <f>G4</f>
        <v>950</v>
      </c>
      <c r="H11" s="39">
        <f>H10/G11</f>
        <v>240.37894736842105</v>
      </c>
      <c r="I11" s="1"/>
      <c r="J11" s="40">
        <f>H11-H15</f>
        <v>209.12968421052631</v>
      </c>
    </row>
    <row r="12" spans="1:10" ht="18.75" x14ac:dyDescent="0.3">
      <c r="A12" s="38"/>
      <c r="B12" s="32"/>
      <c r="C12" s="1"/>
      <c r="D12" s="11" t="s">
        <v>20</v>
      </c>
      <c r="E12" s="17"/>
      <c r="F12" s="17"/>
      <c r="G12" s="41"/>
      <c r="H12" s="42">
        <v>0.75</v>
      </c>
      <c r="I12" s="1"/>
      <c r="J12" s="1"/>
    </row>
    <row r="13" spans="1:10" ht="18.75" x14ac:dyDescent="0.3">
      <c r="A13" s="38"/>
      <c r="B13" s="32"/>
      <c r="C13" s="21" t="s">
        <v>21</v>
      </c>
      <c r="D13" s="21" t="s">
        <v>6</v>
      </c>
      <c r="E13" s="22"/>
      <c r="F13" s="22"/>
      <c r="G13" s="21"/>
      <c r="H13" s="43">
        <f>H11*0.13</f>
        <v>31.249263157894738</v>
      </c>
      <c r="I13" s="44">
        <f>H11*0.13</f>
        <v>31.249263157894738</v>
      </c>
      <c r="J13" s="1"/>
    </row>
    <row r="14" spans="1:10" ht="18.75" x14ac:dyDescent="0.3">
      <c r="A14" s="38"/>
      <c r="B14" s="32"/>
      <c r="C14" s="45"/>
      <c r="D14" s="21" t="s">
        <v>22</v>
      </c>
      <c r="E14" s="22"/>
      <c r="F14" s="22"/>
      <c r="G14" s="21"/>
      <c r="H14" s="23">
        <v>0</v>
      </c>
      <c r="I14" s="1"/>
      <c r="J14" s="1"/>
    </row>
    <row r="15" spans="1:10" ht="18.75" x14ac:dyDescent="0.3">
      <c r="A15" s="38"/>
      <c r="B15" s="32"/>
      <c r="C15" s="45"/>
      <c r="D15" s="21" t="s">
        <v>23</v>
      </c>
      <c r="E15" s="22"/>
      <c r="F15" s="22"/>
      <c r="G15" s="21"/>
      <c r="H15" s="23">
        <f>SUM(H13:H14)</f>
        <v>31.249263157894738</v>
      </c>
      <c r="I15" s="1"/>
      <c r="J15" s="1"/>
    </row>
    <row r="16" spans="1:10" ht="18.75" x14ac:dyDescent="0.3">
      <c r="A16" s="38"/>
      <c r="B16" s="32"/>
      <c r="C16" s="1"/>
      <c r="D16" s="21" t="s">
        <v>24</v>
      </c>
      <c r="E16" s="22"/>
      <c r="F16" s="22"/>
      <c r="G16" s="21"/>
      <c r="H16" s="46">
        <f>(H15+H18)/H11</f>
        <v>0.13</v>
      </c>
      <c r="I16" s="1"/>
      <c r="J16" s="1"/>
    </row>
    <row r="17" spans="1:8" ht="18.75" x14ac:dyDescent="0.3">
      <c r="A17" s="38"/>
      <c r="B17" s="32"/>
      <c r="C17" s="45"/>
      <c r="D17" s="21" t="s">
        <v>17</v>
      </c>
      <c r="E17" s="22"/>
      <c r="F17" s="22"/>
      <c r="G17" s="21"/>
      <c r="H17" s="47">
        <v>1</v>
      </c>
    </row>
    <row r="18" spans="1:8" ht="18.75" x14ac:dyDescent="0.3">
      <c r="A18" s="38"/>
      <c r="B18" s="32"/>
      <c r="C18" s="45"/>
      <c r="D18" s="21" t="s">
        <v>25</v>
      </c>
      <c r="E18" s="22"/>
      <c r="F18" s="22"/>
      <c r="G18" s="21"/>
      <c r="H18" s="23">
        <v>0</v>
      </c>
    </row>
    <row r="19" spans="1:8" ht="18.75" x14ac:dyDescent="0.3">
      <c r="A19" s="38"/>
      <c r="B19" s="32"/>
      <c r="C19" s="36"/>
      <c r="D19" s="21" t="s">
        <v>26</v>
      </c>
      <c r="E19" s="22"/>
      <c r="F19" s="22"/>
      <c r="G19" s="21"/>
      <c r="H19" s="48">
        <v>0</v>
      </c>
    </row>
    <row r="20" spans="1:8" ht="18.75" x14ac:dyDescent="0.3">
      <c r="A20" s="38"/>
      <c r="B20" s="32"/>
      <c r="C20" s="36"/>
      <c r="D20" s="21" t="s">
        <v>27</v>
      </c>
      <c r="E20" s="22"/>
      <c r="F20" s="22"/>
      <c r="G20" s="21"/>
      <c r="H20" s="48">
        <v>0</v>
      </c>
    </row>
    <row r="21" spans="1:8" ht="19.5" thickBot="1" x14ac:dyDescent="0.35">
      <c r="A21" s="38"/>
      <c r="B21" s="32"/>
      <c r="C21" s="49"/>
      <c r="D21" s="45"/>
      <c r="E21" s="45"/>
      <c r="F21" s="49"/>
      <c r="G21" s="45"/>
      <c r="H21" s="50"/>
    </row>
    <row r="22" spans="1:8" ht="19.5" thickBot="1" x14ac:dyDescent="0.35">
      <c r="A22" s="38"/>
      <c r="B22" s="32"/>
      <c r="C22" s="51" t="s">
        <v>28</v>
      </c>
      <c r="D22" s="51" t="s">
        <v>29</v>
      </c>
      <c r="E22" s="52"/>
      <c r="F22" s="53">
        <v>0.06</v>
      </c>
      <c r="G22" s="54" t="s">
        <v>30</v>
      </c>
      <c r="H22" s="55">
        <f>+F73</f>
        <v>6.0858346861289749E-2</v>
      </c>
    </row>
    <row r="23" spans="1:8" ht="18.75" x14ac:dyDescent="0.3">
      <c r="A23" s="38"/>
      <c r="B23" s="32"/>
      <c r="C23" s="36"/>
      <c r="D23" s="51" t="s">
        <v>31</v>
      </c>
      <c r="E23" s="52"/>
      <c r="F23" s="56">
        <v>3.65</v>
      </c>
      <c r="G23" s="51" t="s">
        <v>32</v>
      </c>
      <c r="H23" s="57"/>
    </row>
    <row r="24" spans="1:8" ht="19.5" thickBot="1" x14ac:dyDescent="0.35">
      <c r="A24" s="38"/>
      <c r="B24" s="32"/>
      <c r="C24" s="32"/>
      <c r="D24" s="36"/>
      <c r="E24" s="45"/>
      <c r="F24" s="49"/>
      <c r="G24" s="45"/>
      <c r="H24" s="58"/>
    </row>
    <row r="25" spans="1:8" ht="18.75" x14ac:dyDescent="0.3">
      <c r="A25" s="59" t="s">
        <v>33</v>
      </c>
      <c r="B25" s="60"/>
      <c r="C25" s="60"/>
      <c r="D25" s="60"/>
      <c r="E25" s="60"/>
      <c r="F25" s="60"/>
      <c r="G25" s="60"/>
      <c r="H25" s="61"/>
    </row>
    <row r="26" spans="1:8" ht="30" x14ac:dyDescent="0.25">
      <c r="A26" s="62" t="s">
        <v>34</v>
      </c>
      <c r="B26" s="63"/>
      <c r="C26" s="63"/>
      <c r="D26" s="64" t="s">
        <v>35</v>
      </c>
      <c r="E26" s="64" t="s">
        <v>36</v>
      </c>
      <c r="F26" s="64" t="s">
        <v>37</v>
      </c>
      <c r="G26" s="64" t="s">
        <v>38</v>
      </c>
      <c r="H26" s="65" t="s">
        <v>39</v>
      </c>
    </row>
    <row r="27" spans="1:8" x14ac:dyDescent="0.25">
      <c r="A27" s="38"/>
      <c r="B27" s="49" t="s">
        <v>40</v>
      </c>
      <c r="C27" s="49" t="s">
        <v>41</v>
      </c>
      <c r="D27" s="66">
        <f>ROUND(H11-D28-D29,0)</f>
        <v>209</v>
      </c>
      <c r="E27" s="67">
        <v>810</v>
      </c>
      <c r="F27" s="68">
        <f>+G27*E27</f>
        <v>2956.5</v>
      </c>
      <c r="G27" s="69">
        <f>F23</f>
        <v>3.65</v>
      </c>
      <c r="H27" s="70">
        <f>+D27*F27*12</f>
        <v>7414902</v>
      </c>
    </row>
    <row r="28" spans="1:8" x14ac:dyDescent="0.25">
      <c r="A28" s="38"/>
      <c r="B28" s="71" t="s">
        <v>42</v>
      </c>
      <c r="C28" s="49" t="s">
        <v>43</v>
      </c>
      <c r="D28" s="66">
        <f>H13</f>
        <v>31.249263157894738</v>
      </c>
      <c r="E28" s="67">
        <v>810</v>
      </c>
      <c r="F28" s="68">
        <v>1098.26</v>
      </c>
      <c r="G28" s="72">
        <f>IF(H28=0,0,+H28/(E28*D28)/12)</f>
        <v>1.3558765432098765</v>
      </c>
      <c r="H28" s="70">
        <f>+F28*D28*12</f>
        <v>411837.78906947369</v>
      </c>
    </row>
    <row r="29" spans="1:8" x14ac:dyDescent="0.25">
      <c r="A29" s="38"/>
      <c r="B29" s="71" t="s">
        <v>44</v>
      </c>
      <c r="C29" s="49" t="s">
        <v>45</v>
      </c>
      <c r="D29" s="66"/>
      <c r="E29" s="67">
        <v>810</v>
      </c>
      <c r="F29" s="68">
        <v>784.93925925925919</v>
      </c>
      <c r="G29" s="73">
        <f>IF(H29=0,0,+H29/(E29*D29)/12)</f>
        <v>0</v>
      </c>
      <c r="H29" s="70">
        <f>+F29*D29*12</f>
        <v>0</v>
      </c>
    </row>
    <row r="30" spans="1:8" x14ac:dyDescent="0.25">
      <c r="A30" s="38"/>
      <c r="B30" s="49" t="s">
        <v>46</v>
      </c>
      <c r="C30" s="49" t="s">
        <v>47</v>
      </c>
      <c r="D30" s="67">
        <v>0</v>
      </c>
      <c r="E30" s="67">
        <v>0</v>
      </c>
      <c r="F30" s="73">
        <v>0</v>
      </c>
      <c r="G30" s="73">
        <v>0</v>
      </c>
      <c r="H30" s="70">
        <f>+G30*E30*D30</f>
        <v>0</v>
      </c>
    </row>
    <row r="31" spans="1:8" x14ac:dyDescent="0.25">
      <c r="A31" s="38"/>
      <c r="B31" s="49"/>
      <c r="C31" s="49" t="s">
        <v>48</v>
      </c>
      <c r="D31" s="67">
        <v>0</v>
      </c>
      <c r="E31" s="67">
        <v>5000</v>
      </c>
      <c r="F31" s="73">
        <f>+G31/12</f>
        <v>0</v>
      </c>
      <c r="G31" s="73">
        <v>0</v>
      </c>
      <c r="H31" s="70">
        <f>+G31*E31*D31</f>
        <v>0</v>
      </c>
    </row>
    <row r="32" spans="1:8" x14ac:dyDescent="0.25">
      <c r="A32" s="38"/>
      <c r="B32" s="74" t="s">
        <v>49</v>
      </c>
      <c r="C32" s="74"/>
      <c r="D32" s="75">
        <f>+H11*H12</f>
        <v>180.2842105263158</v>
      </c>
      <c r="E32" s="76"/>
      <c r="F32" s="76"/>
      <c r="G32" s="76">
        <v>250</v>
      </c>
      <c r="H32" s="77">
        <f>+D32*G32*12</f>
        <v>540852.63157894742</v>
      </c>
    </row>
    <row r="33" spans="1:8" x14ac:dyDescent="0.25">
      <c r="A33" s="38"/>
      <c r="B33" s="49" t="s">
        <v>50</v>
      </c>
      <c r="C33" s="49"/>
      <c r="D33" s="66">
        <f>+H11</f>
        <v>240.37894736842105</v>
      </c>
      <c r="E33" s="67">
        <f>(E27*D27)+(E28*D28)</f>
        <v>194601.90315789473</v>
      </c>
      <c r="F33" s="73"/>
      <c r="G33" s="68"/>
      <c r="H33" s="70">
        <f>SUM(H27:H32)</f>
        <v>8367592.4206484212</v>
      </c>
    </row>
    <row r="34" spans="1:8" x14ac:dyDescent="0.25">
      <c r="A34" s="38"/>
      <c r="B34" s="49" t="s">
        <v>51</v>
      </c>
      <c r="C34" s="49"/>
      <c r="D34" s="78">
        <v>0.85</v>
      </c>
      <c r="E34" s="67">
        <f>+H10</f>
        <v>228360</v>
      </c>
      <c r="F34" s="68"/>
      <c r="G34" s="68"/>
      <c r="H34" s="70"/>
    </row>
    <row r="35" spans="1:8" x14ac:dyDescent="0.25">
      <c r="A35" s="38"/>
      <c r="B35" s="49" t="s">
        <v>52</v>
      </c>
      <c r="C35" s="49"/>
      <c r="D35" s="78">
        <v>1</v>
      </c>
      <c r="E35" s="67">
        <f>(E30*D30)+(D31*E31)</f>
        <v>0</v>
      </c>
      <c r="F35" s="68"/>
      <c r="G35" s="68"/>
      <c r="H35" s="70"/>
    </row>
    <row r="36" spans="1:8" x14ac:dyDescent="0.25">
      <c r="A36" s="38"/>
      <c r="B36" s="49"/>
      <c r="C36" s="49"/>
      <c r="D36" s="67"/>
      <c r="E36" s="68"/>
      <c r="F36" s="68"/>
      <c r="G36" s="68"/>
      <c r="H36" s="70"/>
    </row>
    <row r="37" spans="1:8" ht="18.75" x14ac:dyDescent="0.3">
      <c r="A37" s="79" t="s">
        <v>53</v>
      </c>
      <c r="B37" s="49"/>
      <c r="C37" s="49" t="str">
        <f>+C27</f>
        <v>Market Rate</v>
      </c>
      <c r="D37" s="67"/>
      <c r="E37" s="68"/>
      <c r="F37" s="68"/>
      <c r="G37" s="80">
        <v>0.05</v>
      </c>
      <c r="H37" s="70">
        <f>-G37*H27</f>
        <v>-370745.10000000003</v>
      </c>
    </row>
    <row r="38" spans="1:8" ht="12.75" customHeight="1" x14ac:dyDescent="0.3">
      <c r="A38" s="79"/>
      <c r="B38" s="49"/>
      <c r="C38" s="49" t="str">
        <f>+C28</f>
        <v>Low Income</v>
      </c>
      <c r="D38" s="67"/>
      <c r="E38" s="68"/>
      <c r="F38" s="68"/>
      <c r="G38" s="80">
        <v>0</v>
      </c>
      <c r="H38" s="70">
        <f>-G38*H28</f>
        <v>0</v>
      </c>
    </row>
    <row r="39" spans="1:8" ht="12.75" customHeight="1" x14ac:dyDescent="0.3">
      <c r="A39" s="79"/>
      <c r="B39" s="49"/>
      <c r="C39" s="49" t="str">
        <f>+C30</f>
        <v>Market Rate Retail</v>
      </c>
      <c r="D39" s="67"/>
      <c r="E39" s="68"/>
      <c r="F39" s="68"/>
      <c r="G39" s="80">
        <v>0.1</v>
      </c>
      <c r="H39" s="70">
        <f>-G39*H30</f>
        <v>0</v>
      </c>
    </row>
    <row r="40" spans="1:8" x14ac:dyDescent="0.25">
      <c r="A40" s="38"/>
      <c r="B40" s="74"/>
      <c r="C40" s="74" t="str">
        <f>+C31</f>
        <v>Affordable Innovation</v>
      </c>
      <c r="D40" s="75"/>
      <c r="E40" s="76"/>
      <c r="F40" s="76"/>
      <c r="G40" s="81">
        <v>0.2</v>
      </c>
      <c r="H40" s="77">
        <f>-G40*H31</f>
        <v>0</v>
      </c>
    </row>
    <row r="41" spans="1:8" x14ac:dyDescent="0.25">
      <c r="A41" s="38"/>
      <c r="B41" s="49" t="s">
        <v>54</v>
      </c>
      <c r="C41" s="49"/>
      <c r="D41" s="67"/>
      <c r="E41" s="68"/>
      <c r="F41" s="68"/>
      <c r="G41" s="80"/>
      <c r="H41" s="70">
        <f>SUM(H37:H40)</f>
        <v>-370745.10000000003</v>
      </c>
    </row>
    <row r="42" spans="1:8" s="83" customFormat="1" ht="18.75" x14ac:dyDescent="0.3">
      <c r="A42" s="82"/>
      <c r="C42" s="45"/>
      <c r="D42" s="49"/>
      <c r="E42" s="49"/>
      <c r="F42" s="84"/>
      <c r="G42" s="85"/>
      <c r="H42" s="70"/>
    </row>
    <row r="43" spans="1:8" ht="18.75" x14ac:dyDescent="0.3">
      <c r="A43" s="79" t="s">
        <v>55</v>
      </c>
      <c r="B43" s="49"/>
      <c r="C43" s="49"/>
      <c r="D43" s="67"/>
      <c r="E43" s="68"/>
      <c r="F43" s="68"/>
      <c r="G43" s="68"/>
      <c r="H43" s="70">
        <f>+H33+H41</f>
        <v>7996847.3206484215</v>
      </c>
    </row>
    <row r="44" spans="1:8" x14ac:dyDescent="0.25">
      <c r="A44" s="38"/>
      <c r="B44" s="49"/>
      <c r="C44" s="49"/>
      <c r="D44" s="67"/>
      <c r="E44" s="68"/>
      <c r="F44" s="68"/>
      <c r="G44" s="68"/>
      <c r="H44" s="70"/>
    </row>
    <row r="45" spans="1:8" ht="18.75" x14ac:dyDescent="0.3">
      <c r="A45" s="79" t="s">
        <v>56</v>
      </c>
      <c r="B45" s="49"/>
      <c r="C45" s="49"/>
      <c r="D45" s="49"/>
      <c r="E45" s="49"/>
      <c r="F45" s="49"/>
      <c r="G45" s="49"/>
      <c r="H45" s="70"/>
    </row>
    <row r="46" spans="1:8" x14ac:dyDescent="0.25">
      <c r="A46" s="38"/>
      <c r="B46" s="49" t="s">
        <v>57</v>
      </c>
      <c r="C46" s="49" t="s">
        <v>58</v>
      </c>
      <c r="D46" s="49"/>
      <c r="E46" s="49"/>
      <c r="F46" s="68">
        <v>7500</v>
      </c>
      <c r="G46" s="68" t="s">
        <v>59</v>
      </c>
      <c r="H46" s="70">
        <f>-F46*D33</f>
        <v>-1802842.105263158</v>
      </c>
    </row>
    <row r="47" spans="1:8" x14ac:dyDescent="0.25">
      <c r="A47" s="38"/>
      <c r="B47" s="49"/>
      <c r="C47" s="49" t="s">
        <v>60</v>
      </c>
      <c r="D47" s="78">
        <v>7.0000000000000007E-2</v>
      </c>
      <c r="E47" s="49" t="s">
        <v>61</v>
      </c>
      <c r="F47" s="68">
        <f>ROUND(-H47/D33,-2)</f>
        <v>2400</v>
      </c>
      <c r="G47" s="68" t="s">
        <v>59</v>
      </c>
      <c r="H47" s="70">
        <f>(H27+H28+H32)*-D47</f>
        <v>-585731.46944538958</v>
      </c>
    </row>
    <row r="48" spans="1:8" x14ac:dyDescent="0.25">
      <c r="A48" s="38"/>
      <c r="B48" s="49"/>
      <c r="C48" s="49" t="s">
        <v>62</v>
      </c>
      <c r="D48" s="80">
        <v>2.5000000000000001E-2</v>
      </c>
      <c r="E48" s="49" t="s">
        <v>63</v>
      </c>
      <c r="F48" s="68">
        <f>-H48/D33</f>
        <v>826.73762476300578</v>
      </c>
      <c r="G48" s="68" t="s">
        <v>59</v>
      </c>
      <c r="H48" s="70">
        <f>-D48*((H27+H28+H32)*(1-G37))</f>
        <v>-198730.31999039999</v>
      </c>
    </row>
    <row r="49" spans="1:11" x14ac:dyDescent="0.25">
      <c r="A49" s="38"/>
      <c r="B49" s="49"/>
      <c r="C49" s="49" t="s">
        <v>64</v>
      </c>
      <c r="D49" s="49"/>
      <c r="E49" s="49"/>
      <c r="F49" s="68">
        <v>250</v>
      </c>
      <c r="G49" s="68" t="s">
        <v>59</v>
      </c>
      <c r="H49" s="70">
        <f>-F49*D33</f>
        <v>-60094.73684210526</v>
      </c>
      <c r="I49" s="1"/>
      <c r="J49" s="1"/>
      <c r="K49" s="1"/>
    </row>
    <row r="50" spans="1:11" x14ac:dyDescent="0.25">
      <c r="A50" s="38"/>
      <c r="B50" s="74" t="s">
        <v>46</v>
      </c>
      <c r="C50" s="86" t="s">
        <v>65</v>
      </c>
      <c r="D50" s="74"/>
      <c r="E50" s="74"/>
      <c r="F50" s="87">
        <v>0.02</v>
      </c>
      <c r="G50" s="74" t="s">
        <v>66</v>
      </c>
      <c r="H50" s="77">
        <f>-F50*(H30+H31)</f>
        <v>0</v>
      </c>
      <c r="I50" s="1"/>
      <c r="J50" s="1"/>
      <c r="K50" s="1"/>
    </row>
    <row r="51" spans="1:11" x14ac:dyDescent="0.25">
      <c r="A51" s="38"/>
      <c r="B51" s="49" t="s">
        <v>67</v>
      </c>
      <c r="C51" s="49"/>
      <c r="D51" s="78">
        <f>-H51/H43</f>
        <v>0.33105529284087787</v>
      </c>
      <c r="E51" s="68" t="s">
        <v>68</v>
      </c>
      <c r="F51" s="68">
        <f>-H51/D33</f>
        <v>11013.437992485549</v>
      </c>
      <c r="G51" s="68" t="s">
        <v>59</v>
      </c>
      <c r="H51" s="70">
        <f>SUM(H46:H50)</f>
        <v>-2647398.6315410528</v>
      </c>
      <c r="I51" s="1"/>
      <c r="J51" s="1"/>
      <c r="K51" s="1"/>
    </row>
    <row r="52" spans="1:11" ht="15.75" thickBot="1" x14ac:dyDescent="0.3">
      <c r="A52" s="38"/>
      <c r="B52" s="49"/>
      <c r="C52" s="49"/>
      <c r="D52" s="49"/>
      <c r="E52" s="32"/>
      <c r="F52" s="49"/>
      <c r="G52" s="49"/>
      <c r="H52" s="70"/>
      <c r="I52" s="1"/>
      <c r="J52" s="1"/>
      <c r="K52" s="1"/>
    </row>
    <row r="53" spans="1:11" ht="18.75" x14ac:dyDescent="0.3">
      <c r="A53" s="79" t="s">
        <v>69</v>
      </c>
      <c r="B53" s="49"/>
      <c r="C53" s="49"/>
      <c r="D53" s="78">
        <f>+H53/H43</f>
        <v>0.66894470715912213</v>
      </c>
      <c r="E53" s="68" t="s">
        <v>68</v>
      </c>
      <c r="F53" s="68">
        <f>+H53/D33</f>
        <v>22254.231278034684</v>
      </c>
      <c r="G53" s="68" t="s">
        <v>59</v>
      </c>
      <c r="H53" s="70">
        <f>+H43+H51</f>
        <v>5349448.6891073687</v>
      </c>
      <c r="I53" s="1"/>
      <c r="J53" s="88">
        <f>+H53/1.25</f>
        <v>4279558.951285895</v>
      </c>
      <c r="K53" s="89" t="s">
        <v>70</v>
      </c>
    </row>
    <row r="54" spans="1:11" x14ac:dyDescent="0.25">
      <c r="A54" s="38"/>
      <c r="B54" s="49"/>
      <c r="C54" s="49"/>
      <c r="D54" s="49"/>
      <c r="E54" s="49"/>
      <c r="F54" s="49"/>
      <c r="G54" s="49"/>
      <c r="H54" s="70"/>
      <c r="I54" s="1"/>
      <c r="J54" s="90">
        <f>-J53/(PMT(0.04/12,30*12,1)*12)</f>
        <v>74700143.877765596</v>
      </c>
      <c r="K54" s="91" t="s">
        <v>71</v>
      </c>
    </row>
    <row r="55" spans="1:11" ht="18.75" x14ac:dyDescent="0.3">
      <c r="A55" s="79" t="s">
        <v>72</v>
      </c>
      <c r="B55" s="49"/>
      <c r="C55" s="49"/>
      <c r="D55" s="49"/>
      <c r="E55" s="49"/>
      <c r="F55" s="49"/>
      <c r="G55" s="49"/>
      <c r="H55" s="70"/>
      <c r="I55" s="1"/>
      <c r="J55" s="92">
        <f>+H69-J54</f>
        <v>13199856.122234404</v>
      </c>
      <c r="K55" s="91" t="s">
        <v>73</v>
      </c>
    </row>
    <row r="56" spans="1:11" x14ac:dyDescent="0.25">
      <c r="A56" s="38"/>
      <c r="B56" s="49" t="s">
        <v>74</v>
      </c>
      <c r="C56" s="49"/>
      <c r="D56" s="49"/>
      <c r="E56" s="93" t="s">
        <v>75</v>
      </c>
      <c r="F56" s="94">
        <v>0.05</v>
      </c>
      <c r="G56" s="49" t="s">
        <v>76</v>
      </c>
      <c r="H56" s="70">
        <f>+H53/F56</f>
        <v>106988973.78214736</v>
      </c>
      <c r="I56" s="1"/>
      <c r="J56" s="92">
        <f>+H53-J53</f>
        <v>1069889.7378214737</v>
      </c>
      <c r="K56" s="91" t="s">
        <v>77</v>
      </c>
    </row>
    <row r="57" spans="1:11" ht="15.75" thickBot="1" x14ac:dyDescent="0.3">
      <c r="A57" s="38"/>
      <c r="B57" s="49"/>
      <c r="C57" s="49"/>
      <c r="D57" s="49"/>
      <c r="E57" s="49"/>
      <c r="F57" s="49"/>
      <c r="G57" s="93" t="s">
        <v>78</v>
      </c>
      <c r="H57" s="70">
        <f>ROUND(H56,-5)</f>
        <v>107000000</v>
      </c>
      <c r="I57" s="1"/>
      <c r="J57" s="95">
        <f>+J56/J55</f>
        <v>8.1053136330729053E-2</v>
      </c>
      <c r="K57" s="96" t="s">
        <v>79</v>
      </c>
    </row>
    <row r="58" spans="1:11" x14ac:dyDescent="0.25">
      <c r="A58" s="38"/>
      <c r="B58" s="49"/>
      <c r="C58" s="49"/>
      <c r="D58" s="49"/>
      <c r="E58" s="49"/>
      <c r="F58" s="49"/>
      <c r="G58" s="93" t="s">
        <v>80</v>
      </c>
      <c r="H58" s="70">
        <f>+H57/E34</f>
        <v>468.55841653529512</v>
      </c>
      <c r="I58" s="1"/>
      <c r="J58" s="1"/>
      <c r="K58" s="1"/>
    </row>
    <row r="59" spans="1:11" x14ac:dyDescent="0.25">
      <c r="A59" s="38"/>
      <c r="B59" s="49"/>
      <c r="C59" s="49"/>
      <c r="D59" s="49"/>
      <c r="E59" s="49"/>
      <c r="F59" s="49"/>
      <c r="G59" s="93" t="s">
        <v>59</v>
      </c>
      <c r="H59" s="70">
        <f>+H57/D33</f>
        <v>445130.49570853042</v>
      </c>
      <c r="I59" s="1"/>
      <c r="J59" s="1">
        <v>646091.59779614327</v>
      </c>
      <c r="K59" s="2">
        <f>+J59-H59</f>
        <v>200961.10208761285</v>
      </c>
    </row>
    <row r="60" spans="1:11" x14ac:dyDescent="0.25">
      <c r="A60" s="97"/>
      <c r="B60" s="74"/>
      <c r="C60" s="74"/>
      <c r="D60" s="74"/>
      <c r="E60" s="74"/>
      <c r="F60" s="74"/>
      <c r="G60" s="98"/>
      <c r="H60" s="77"/>
      <c r="I60" s="1"/>
      <c r="J60" s="1"/>
      <c r="K60" s="1"/>
    </row>
    <row r="61" spans="1:11" x14ac:dyDescent="0.25">
      <c r="A61" s="38"/>
      <c r="B61" s="49"/>
      <c r="C61" s="49"/>
      <c r="D61" s="49"/>
      <c r="E61" s="49"/>
      <c r="F61" s="94"/>
      <c r="G61" s="49"/>
      <c r="H61" s="70"/>
      <c r="I61" s="1"/>
      <c r="J61" s="1"/>
      <c r="K61" s="1"/>
    </row>
    <row r="62" spans="1:11" ht="19.5" thickBot="1" x14ac:dyDescent="0.35">
      <c r="A62" s="79" t="s">
        <v>81</v>
      </c>
      <c r="B62" s="49"/>
      <c r="C62" s="49"/>
      <c r="D62" s="49"/>
      <c r="E62" s="49"/>
      <c r="F62" s="49"/>
      <c r="G62" s="49"/>
      <c r="H62" s="70"/>
      <c r="I62" s="1"/>
      <c r="J62" s="1"/>
      <c r="K62" s="1"/>
    </row>
    <row r="63" spans="1:11" ht="19.5" thickBot="1" x14ac:dyDescent="0.35">
      <c r="A63" s="79"/>
      <c r="B63" s="49" t="s">
        <v>82</v>
      </c>
      <c r="C63" s="49"/>
      <c r="D63" s="68">
        <f>+H63/D33</f>
        <v>45722.390085829393</v>
      </c>
      <c r="E63" s="49" t="s">
        <v>59</v>
      </c>
      <c r="F63" s="73">
        <v>70</v>
      </c>
      <c r="G63" s="49" t="s">
        <v>83</v>
      </c>
      <c r="H63" s="99">
        <f>F63*H8</f>
        <v>10990700</v>
      </c>
      <c r="I63" s="1"/>
      <c r="J63" s="1"/>
      <c r="K63" s="1"/>
    </row>
    <row r="64" spans="1:11" ht="12.75" customHeight="1" x14ac:dyDescent="0.3">
      <c r="A64" s="79"/>
      <c r="B64" s="49" t="s">
        <v>84</v>
      </c>
      <c r="C64" s="49"/>
      <c r="D64" s="68">
        <v>300000</v>
      </c>
      <c r="E64" s="49" t="s">
        <v>59</v>
      </c>
      <c r="F64" s="67">
        <f>H18</f>
        <v>0</v>
      </c>
      <c r="G64" s="49" t="s">
        <v>35</v>
      </c>
      <c r="H64" s="70">
        <f>+F64*D64</f>
        <v>0</v>
      </c>
      <c r="I64" s="1"/>
      <c r="J64" s="1"/>
      <c r="K64" s="1"/>
    </row>
    <row r="65" spans="1:10" x14ac:dyDescent="0.25">
      <c r="A65" s="38"/>
      <c r="B65" s="49" t="s">
        <v>57</v>
      </c>
      <c r="C65" s="49"/>
      <c r="D65" s="49"/>
      <c r="E65" s="49"/>
      <c r="F65" s="73">
        <f>280*0.92</f>
        <v>257.60000000000002</v>
      </c>
      <c r="G65" s="49" t="s">
        <v>85</v>
      </c>
      <c r="H65" s="70">
        <f>+F65*E34</f>
        <v>58825536.000000007</v>
      </c>
      <c r="I65" s="1"/>
      <c r="J65" s="1"/>
    </row>
    <row r="66" spans="1:10" x14ac:dyDescent="0.25">
      <c r="A66" s="38"/>
      <c r="B66" s="49" t="s">
        <v>46</v>
      </c>
      <c r="C66" s="49"/>
      <c r="D66" s="49"/>
      <c r="E66" s="49"/>
      <c r="F66" s="73">
        <v>280</v>
      </c>
      <c r="G66" s="49" t="s">
        <v>85</v>
      </c>
      <c r="H66" s="70">
        <f>F66*(E35)</f>
        <v>0</v>
      </c>
      <c r="I66" s="1"/>
      <c r="J66" s="1"/>
    </row>
    <row r="67" spans="1:10" x14ac:dyDescent="0.25">
      <c r="A67" s="38"/>
      <c r="B67" s="49" t="s">
        <v>86</v>
      </c>
      <c r="C67" s="49" t="s">
        <v>87</v>
      </c>
      <c r="D67" s="67">
        <f>+D32</f>
        <v>180.2842105263158</v>
      </c>
      <c r="E67" s="32" t="s">
        <v>88</v>
      </c>
      <c r="F67" s="68">
        <v>35000</v>
      </c>
      <c r="G67" s="49" t="s">
        <v>89</v>
      </c>
      <c r="H67" s="70">
        <f>+F67*D32</f>
        <v>6309947.3684210535</v>
      </c>
      <c r="I67" s="1"/>
      <c r="J67" s="1"/>
    </row>
    <row r="68" spans="1:10" x14ac:dyDescent="0.25">
      <c r="A68" s="38"/>
      <c r="B68" s="74" t="s">
        <v>90</v>
      </c>
      <c r="C68" s="74"/>
      <c r="D68" s="74"/>
      <c r="E68" s="74"/>
      <c r="F68" s="87">
        <v>0.2</v>
      </c>
      <c r="G68" s="74" t="s">
        <v>91</v>
      </c>
      <c r="H68" s="77">
        <f>ROUND((H65+H66)*F68,-5)</f>
        <v>11800000</v>
      </c>
      <c r="I68" s="1"/>
      <c r="J68" s="1"/>
    </row>
    <row r="69" spans="1:10" x14ac:dyDescent="0.25">
      <c r="A69" s="38"/>
      <c r="B69" s="49"/>
      <c r="C69" s="49"/>
      <c r="D69" s="49"/>
      <c r="E69" s="49"/>
      <c r="F69" s="49"/>
      <c r="G69" s="93" t="s">
        <v>78</v>
      </c>
      <c r="H69" s="70">
        <f>ROUND(SUM(H63:H68),-5)</f>
        <v>87900000</v>
      </c>
      <c r="I69" s="1"/>
      <c r="J69" s="1"/>
    </row>
    <row r="70" spans="1:10" x14ac:dyDescent="0.25">
      <c r="A70" s="38"/>
      <c r="B70" s="49"/>
      <c r="C70" s="49"/>
      <c r="D70" s="49"/>
      <c r="E70" s="49"/>
      <c r="F70" s="49"/>
      <c r="G70" s="93" t="s">
        <v>80</v>
      </c>
      <c r="H70" s="70">
        <f>+H69/(E34+E35)</f>
        <v>384.91854965843407</v>
      </c>
      <c r="I70" s="1"/>
      <c r="J70" s="1"/>
    </row>
    <row r="71" spans="1:10" x14ac:dyDescent="0.25">
      <c r="A71" s="38"/>
      <c r="B71" s="49"/>
      <c r="C71" s="49"/>
      <c r="D71" s="49"/>
      <c r="E71" s="49"/>
      <c r="F71" s="49"/>
      <c r="G71" s="93" t="s">
        <v>59</v>
      </c>
      <c r="H71" s="70">
        <f>+H69/H11</f>
        <v>365672.62217551237</v>
      </c>
      <c r="I71" s="1"/>
      <c r="J71" s="1">
        <v>486340.6795224977</v>
      </c>
    </row>
    <row r="72" spans="1:10" x14ac:dyDescent="0.25">
      <c r="A72" s="38"/>
      <c r="B72" s="49"/>
      <c r="C72" s="49"/>
      <c r="D72" s="49"/>
      <c r="E72" s="49"/>
      <c r="F72" s="49"/>
      <c r="G72" s="49"/>
      <c r="H72" s="70"/>
      <c r="I72" s="1"/>
      <c r="J72" s="1"/>
    </row>
    <row r="73" spans="1:10" ht="18.75" x14ac:dyDescent="0.3">
      <c r="A73" s="100" t="s">
        <v>92</v>
      </c>
      <c r="B73" s="49"/>
      <c r="C73" s="49"/>
      <c r="D73" s="49"/>
      <c r="E73" s="93" t="s">
        <v>93</v>
      </c>
      <c r="F73" s="80">
        <f>+H53/H69</f>
        <v>6.0858346861289749E-2</v>
      </c>
      <c r="G73" s="93" t="s">
        <v>94</v>
      </c>
      <c r="H73" s="70">
        <f>+H57-H69</f>
        <v>19100000</v>
      </c>
      <c r="I73" s="1"/>
      <c r="J73" s="1"/>
    </row>
    <row r="74" spans="1:10" ht="15.75" thickBot="1" x14ac:dyDescent="0.3">
      <c r="A74" s="101"/>
      <c r="B74" s="102"/>
      <c r="C74" s="102"/>
      <c r="D74" s="103"/>
      <c r="E74" s="103"/>
      <c r="F74" s="103"/>
      <c r="G74" s="102"/>
      <c r="H74" s="104"/>
      <c r="I74" s="1"/>
      <c r="J74" s="1"/>
    </row>
    <row r="75" spans="1:10" x14ac:dyDescent="0.25">
      <c r="A75" s="38"/>
      <c r="B75" s="32"/>
      <c r="C75" s="32"/>
      <c r="D75" s="32"/>
      <c r="E75" s="32"/>
      <c r="F75" s="32"/>
      <c r="G75" s="32"/>
      <c r="H75" s="32"/>
      <c r="I75" s="1"/>
      <c r="J75" s="1"/>
    </row>
    <row r="77" spans="1:10" ht="15.75" thickBo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</row>
    <row r="78" spans="1:10" ht="18.75" x14ac:dyDescent="0.3">
      <c r="A78" s="3" t="s">
        <v>7</v>
      </c>
      <c r="B78" s="4"/>
      <c r="C78" s="5" t="s">
        <v>8</v>
      </c>
      <c r="D78" s="6" t="s">
        <v>9</v>
      </c>
      <c r="E78" s="7"/>
      <c r="F78" s="7"/>
      <c r="G78" s="8" t="s">
        <v>10</v>
      </c>
      <c r="H78" s="25" t="s">
        <v>11</v>
      </c>
      <c r="I78" s="1"/>
      <c r="J78" s="1"/>
    </row>
    <row r="79" spans="1:10" ht="18.75" x14ac:dyDescent="0.3">
      <c r="A79" s="26" t="s">
        <v>95</v>
      </c>
      <c r="B79" s="27"/>
      <c r="C79" s="11"/>
      <c r="D79" s="28" t="s">
        <v>1</v>
      </c>
      <c r="E79" s="12" t="s">
        <v>13</v>
      </c>
      <c r="F79" s="29"/>
      <c r="G79" s="30" t="s">
        <v>14</v>
      </c>
      <c r="H79" s="31">
        <v>93255</v>
      </c>
      <c r="I79" s="1"/>
      <c r="J79" s="1"/>
    </row>
    <row r="80" spans="1:10" ht="19.5" thickBot="1" x14ac:dyDescent="0.35">
      <c r="A80" s="26"/>
      <c r="B80" s="27"/>
      <c r="C80" s="32"/>
      <c r="D80" s="11" t="s">
        <v>16</v>
      </c>
      <c r="E80" s="12"/>
      <c r="F80" s="33"/>
      <c r="G80" s="14" t="s">
        <v>4</v>
      </c>
      <c r="H80" s="15">
        <f>H81/H79</f>
        <v>1.9423623398209211</v>
      </c>
      <c r="I80" s="1"/>
      <c r="J80" s="1"/>
    </row>
    <row r="81" spans="1:10" ht="19.5" thickBot="1" x14ac:dyDescent="0.35">
      <c r="A81" s="34" t="s">
        <v>17</v>
      </c>
      <c r="B81" s="35"/>
      <c r="C81" s="36"/>
      <c r="D81" s="11" t="s">
        <v>18</v>
      </c>
      <c r="E81" s="17"/>
      <c r="F81" s="17"/>
      <c r="G81" s="37" t="s">
        <v>19</v>
      </c>
      <c r="H81" s="31">
        <v>181135</v>
      </c>
      <c r="I81" s="1"/>
      <c r="J81" s="105" t="s">
        <v>96</v>
      </c>
    </row>
    <row r="82" spans="1:10" ht="18.75" x14ac:dyDescent="0.3">
      <c r="A82" s="38"/>
      <c r="B82" s="32"/>
      <c r="C82" s="36"/>
      <c r="D82" s="11" t="s">
        <v>5</v>
      </c>
      <c r="E82" s="17"/>
      <c r="F82" s="17"/>
      <c r="G82" s="18">
        <f>G11</f>
        <v>950</v>
      </c>
      <c r="H82" s="39">
        <f>H81/G82</f>
        <v>190.66842105263157</v>
      </c>
      <c r="I82" s="1"/>
      <c r="J82" s="106">
        <f>H11+H82</f>
        <v>431.04736842105262</v>
      </c>
    </row>
    <row r="83" spans="1:10" ht="18.75" x14ac:dyDescent="0.3">
      <c r="A83" s="38"/>
      <c r="B83" s="32"/>
      <c r="C83" s="1"/>
      <c r="D83" s="11" t="s">
        <v>20</v>
      </c>
      <c r="E83" s="17"/>
      <c r="F83" s="17"/>
      <c r="G83" s="41"/>
      <c r="H83" s="42">
        <v>0.75</v>
      </c>
      <c r="I83" s="1"/>
      <c r="J83" s="107"/>
    </row>
    <row r="84" spans="1:10" ht="18.75" x14ac:dyDescent="0.3">
      <c r="A84" s="38"/>
      <c r="B84" s="32"/>
      <c r="C84" s="21" t="s">
        <v>21</v>
      </c>
      <c r="D84" s="21" t="s">
        <v>6</v>
      </c>
      <c r="E84" s="22"/>
      <c r="F84" s="22"/>
      <c r="G84" s="21"/>
      <c r="H84" s="23">
        <v>25</v>
      </c>
      <c r="I84" s="44">
        <f>H82*0.13</f>
        <v>24.786894736842104</v>
      </c>
      <c r="J84" s="108">
        <f>H13+H84</f>
        <v>56.249263157894738</v>
      </c>
    </row>
    <row r="85" spans="1:10" ht="18.75" x14ac:dyDescent="0.3">
      <c r="A85" s="38"/>
      <c r="B85" s="32"/>
      <c r="C85" s="45"/>
      <c r="D85" s="21" t="s">
        <v>97</v>
      </c>
      <c r="E85" s="22"/>
      <c r="F85" s="22"/>
      <c r="G85" s="21"/>
      <c r="H85" s="23">
        <v>0</v>
      </c>
      <c r="I85" s="1"/>
      <c r="J85" s="108"/>
    </row>
    <row r="86" spans="1:10" ht="18.75" x14ac:dyDescent="0.3">
      <c r="A86" s="38"/>
      <c r="B86" s="32"/>
      <c r="C86" s="45"/>
      <c r="D86" s="21" t="s">
        <v>23</v>
      </c>
      <c r="E86" s="22"/>
      <c r="F86" s="22"/>
      <c r="G86" s="21"/>
      <c r="H86" s="23">
        <f>SUM(H84:H85)</f>
        <v>25</v>
      </c>
      <c r="I86" s="1"/>
      <c r="J86" s="108">
        <f>H15+H86</f>
        <v>56.249263157894738</v>
      </c>
    </row>
    <row r="87" spans="1:10" ht="19.5" thickBot="1" x14ac:dyDescent="0.35">
      <c r="A87" s="38"/>
      <c r="B87" s="32"/>
      <c r="C87" s="1"/>
      <c r="D87" s="21" t="s">
        <v>24</v>
      </c>
      <c r="E87" s="22"/>
      <c r="F87" s="22"/>
      <c r="G87" s="21"/>
      <c r="H87" s="46">
        <f>H86/H82</f>
        <v>0.13111767466254451</v>
      </c>
      <c r="I87" s="1"/>
      <c r="J87" s="109">
        <f>J86/J82</f>
        <v>0.1304943894308844</v>
      </c>
    </row>
    <row r="88" spans="1:10" ht="18.75" x14ac:dyDescent="0.3">
      <c r="A88" s="38"/>
      <c r="B88" s="32"/>
      <c r="C88" s="45"/>
      <c r="D88" s="21" t="s">
        <v>17</v>
      </c>
      <c r="E88" s="22"/>
      <c r="F88" s="22"/>
      <c r="G88" s="21"/>
      <c r="H88" s="47">
        <f>H84/H86</f>
        <v>1</v>
      </c>
      <c r="I88" s="1"/>
      <c r="J88" s="1"/>
    </row>
    <row r="89" spans="1:10" ht="18.75" x14ac:dyDescent="0.3">
      <c r="A89" s="38"/>
      <c r="B89" s="32"/>
      <c r="C89" s="36"/>
      <c r="D89" s="21" t="s">
        <v>98</v>
      </c>
      <c r="E89" s="22"/>
      <c r="F89" s="22"/>
      <c r="G89" s="21"/>
      <c r="H89" s="23">
        <v>0</v>
      </c>
      <c r="I89" s="1"/>
      <c r="J89" s="1"/>
    </row>
    <row r="90" spans="1:10" ht="18.75" x14ac:dyDescent="0.3">
      <c r="A90" s="38"/>
      <c r="B90" s="32"/>
      <c r="C90" s="36"/>
      <c r="D90" s="21" t="s">
        <v>27</v>
      </c>
      <c r="E90" s="22"/>
      <c r="F90" s="22"/>
      <c r="G90" s="21"/>
      <c r="H90" s="48">
        <v>300000</v>
      </c>
      <c r="I90" s="1"/>
      <c r="J90" s="1"/>
    </row>
    <row r="91" spans="1:10" ht="19.5" thickBot="1" x14ac:dyDescent="0.35">
      <c r="A91" s="38"/>
      <c r="B91" s="32"/>
      <c r="C91" s="49"/>
      <c r="D91" s="45"/>
      <c r="E91" s="45"/>
      <c r="F91" s="49"/>
      <c r="G91" s="45"/>
      <c r="H91" s="50"/>
      <c r="I91" s="1"/>
      <c r="J91" s="1"/>
    </row>
    <row r="92" spans="1:10" ht="19.5" thickBot="1" x14ac:dyDescent="0.35">
      <c r="A92" s="38"/>
      <c r="B92" s="32"/>
      <c r="C92" s="51" t="s">
        <v>28</v>
      </c>
      <c r="D92" s="51" t="s">
        <v>29</v>
      </c>
      <c r="E92" s="52"/>
      <c r="F92" s="53">
        <v>6.0999999999999999E-2</v>
      </c>
      <c r="G92" s="54" t="s">
        <v>30</v>
      </c>
      <c r="H92" s="55">
        <f>+F143</f>
        <v>6.2999232987329415E-2</v>
      </c>
      <c r="I92" s="1"/>
      <c r="J92" s="1"/>
    </row>
    <row r="93" spans="1:10" ht="18.75" x14ac:dyDescent="0.3">
      <c r="A93" s="38"/>
      <c r="B93" s="32"/>
      <c r="C93" s="36"/>
      <c r="D93" s="51" t="s">
        <v>31</v>
      </c>
      <c r="E93" s="52"/>
      <c r="F93" s="56">
        <f>F23</f>
        <v>3.65</v>
      </c>
      <c r="G93" s="51" t="s">
        <v>32</v>
      </c>
      <c r="H93" s="57"/>
      <c r="I93" s="1"/>
      <c r="J93" s="1"/>
    </row>
    <row r="94" spans="1:10" ht="19.5" thickBot="1" x14ac:dyDescent="0.35">
      <c r="A94" s="38"/>
      <c r="B94" s="32"/>
      <c r="C94" s="32"/>
      <c r="D94" s="36"/>
      <c r="E94" s="45"/>
      <c r="F94" s="49"/>
      <c r="G94" s="45"/>
      <c r="H94" s="58"/>
      <c r="I94" s="1"/>
      <c r="J94" s="1"/>
    </row>
    <row r="95" spans="1:10" ht="18.75" x14ac:dyDescent="0.3">
      <c r="A95" s="59" t="s">
        <v>33</v>
      </c>
      <c r="B95" s="60"/>
      <c r="C95" s="60"/>
      <c r="D95" s="60"/>
      <c r="E95" s="60"/>
      <c r="F95" s="60"/>
      <c r="G95" s="60"/>
      <c r="H95" s="61"/>
      <c r="I95" s="1"/>
      <c r="J95" s="1"/>
    </row>
    <row r="96" spans="1:10" ht="30" x14ac:dyDescent="0.25">
      <c r="A96" s="62" t="s">
        <v>34</v>
      </c>
      <c r="B96" s="63"/>
      <c r="C96" s="63"/>
      <c r="D96" s="64" t="s">
        <v>35</v>
      </c>
      <c r="E96" s="64" t="s">
        <v>36</v>
      </c>
      <c r="F96" s="64" t="s">
        <v>37</v>
      </c>
      <c r="G96" s="64" t="s">
        <v>38</v>
      </c>
      <c r="H96" s="65" t="s">
        <v>39</v>
      </c>
      <c r="I96" s="1"/>
      <c r="J96" s="1"/>
    </row>
    <row r="97" spans="1:8" x14ac:dyDescent="0.25">
      <c r="A97" s="38"/>
      <c r="B97" s="49" t="s">
        <v>40</v>
      </c>
      <c r="C97" s="49" t="s">
        <v>41</v>
      </c>
      <c r="D97" s="66">
        <f>ROUND(H82-D98-D99,0)</f>
        <v>166</v>
      </c>
      <c r="E97" s="67">
        <v>810</v>
      </c>
      <c r="F97" s="68">
        <f>+G97*E97</f>
        <v>2956.5</v>
      </c>
      <c r="G97" s="69">
        <f>F93</f>
        <v>3.65</v>
      </c>
      <c r="H97" s="70">
        <f>+D97*F97*12</f>
        <v>5889348</v>
      </c>
    </row>
    <row r="98" spans="1:8" x14ac:dyDescent="0.25">
      <c r="A98" s="38"/>
      <c r="B98" s="71" t="s">
        <v>42</v>
      </c>
      <c r="C98" s="49" t="s">
        <v>43</v>
      </c>
      <c r="D98" s="66">
        <f>H84</f>
        <v>25</v>
      </c>
      <c r="E98" s="67">
        <v>810</v>
      </c>
      <c r="F98" s="68">
        <v>1098.26</v>
      </c>
      <c r="G98" s="72">
        <f>IF(H98=0,0,+H98/(E98*D98)/12)</f>
        <v>1.3558765432098765</v>
      </c>
      <c r="H98" s="70">
        <f>+F98*D98*12</f>
        <v>329478</v>
      </c>
    </row>
    <row r="99" spans="1:8" x14ac:dyDescent="0.25">
      <c r="A99" s="38"/>
      <c r="B99" s="71" t="s">
        <v>44</v>
      </c>
      <c r="C99" s="49" t="s">
        <v>45</v>
      </c>
      <c r="D99" s="66">
        <f>H85</f>
        <v>0</v>
      </c>
      <c r="E99" s="67">
        <v>810</v>
      </c>
      <c r="F99" s="68">
        <v>784.93925925925919</v>
      </c>
      <c r="G99" s="73">
        <f>IF(H99=0,0,+H99/(E99*D99)/12)</f>
        <v>0</v>
      </c>
      <c r="H99" s="70">
        <f>+F99*D99*12</f>
        <v>0</v>
      </c>
    </row>
    <row r="100" spans="1:8" x14ac:dyDescent="0.25">
      <c r="A100" s="38"/>
      <c r="B100" s="49" t="s">
        <v>46</v>
      </c>
      <c r="C100" s="49" t="s">
        <v>47</v>
      </c>
      <c r="D100" s="67">
        <v>0</v>
      </c>
      <c r="E100" s="67">
        <v>0</v>
      </c>
      <c r="F100" s="73">
        <v>0</v>
      </c>
      <c r="G100" s="73">
        <v>0</v>
      </c>
      <c r="H100" s="70">
        <f>+G100*E100*D100</f>
        <v>0</v>
      </c>
    </row>
    <row r="101" spans="1:8" x14ac:dyDescent="0.25">
      <c r="A101" s="38"/>
      <c r="B101" s="49"/>
      <c r="C101" s="49" t="s">
        <v>48</v>
      </c>
      <c r="D101" s="67">
        <v>0</v>
      </c>
      <c r="E101" s="67">
        <v>5000</v>
      </c>
      <c r="F101" s="73">
        <f>+G101/12</f>
        <v>0</v>
      </c>
      <c r="G101" s="73">
        <v>0</v>
      </c>
      <c r="H101" s="70">
        <f>+G101*E101*D101</f>
        <v>0</v>
      </c>
    </row>
    <row r="102" spans="1:8" x14ac:dyDescent="0.25">
      <c r="A102" s="38"/>
      <c r="B102" s="74" t="s">
        <v>49</v>
      </c>
      <c r="C102" s="74"/>
      <c r="D102" s="75">
        <f>+H82*H83</f>
        <v>143.00131578947367</v>
      </c>
      <c r="E102" s="76"/>
      <c r="F102" s="76"/>
      <c r="G102" s="76">
        <v>250</v>
      </c>
      <c r="H102" s="77">
        <f>+D102*G102*12</f>
        <v>429003.94736842095</v>
      </c>
    </row>
    <row r="103" spans="1:8" x14ac:dyDescent="0.25">
      <c r="A103" s="38"/>
      <c r="B103" s="49" t="s">
        <v>50</v>
      </c>
      <c r="C103" s="49"/>
      <c r="D103" s="66">
        <f>+H82</f>
        <v>190.66842105263157</v>
      </c>
      <c r="E103" s="67">
        <f>(E97*D97)+(E98*D98)</f>
        <v>154710</v>
      </c>
      <c r="F103" s="73"/>
      <c r="G103" s="68"/>
      <c r="H103" s="70">
        <f>SUM(H97:H102)</f>
        <v>6647829.9473684207</v>
      </c>
    </row>
    <row r="104" spans="1:8" x14ac:dyDescent="0.25">
      <c r="A104" s="38"/>
      <c r="B104" s="49" t="s">
        <v>51</v>
      </c>
      <c r="C104" s="49"/>
      <c r="D104" s="78">
        <v>0.85</v>
      </c>
      <c r="E104" s="67">
        <f>+H81</f>
        <v>181135</v>
      </c>
      <c r="F104" s="68"/>
      <c r="G104" s="68"/>
      <c r="H104" s="70"/>
    </row>
    <row r="105" spans="1:8" x14ac:dyDescent="0.25">
      <c r="A105" s="38"/>
      <c r="B105" s="49" t="s">
        <v>52</v>
      </c>
      <c r="C105" s="49"/>
      <c r="D105" s="78">
        <v>1</v>
      </c>
      <c r="E105" s="67">
        <f>(E100*D100)+(D101*E101)</f>
        <v>0</v>
      </c>
      <c r="F105" s="68"/>
      <c r="G105" s="68"/>
      <c r="H105" s="70"/>
    </row>
    <row r="106" spans="1:8" x14ac:dyDescent="0.25">
      <c r="A106" s="38"/>
      <c r="B106" s="49"/>
      <c r="C106" s="49"/>
      <c r="D106" s="67"/>
      <c r="E106" s="68"/>
      <c r="F106" s="68"/>
      <c r="G106" s="68"/>
      <c r="H106" s="70"/>
    </row>
    <row r="107" spans="1:8" ht="18.75" x14ac:dyDescent="0.3">
      <c r="A107" s="79" t="s">
        <v>53</v>
      </c>
      <c r="B107" s="49"/>
      <c r="C107" s="49" t="str">
        <f>+C97</f>
        <v>Market Rate</v>
      </c>
      <c r="D107" s="67"/>
      <c r="E107" s="68"/>
      <c r="F107" s="68"/>
      <c r="G107" s="80">
        <v>0.05</v>
      </c>
      <c r="H107" s="70">
        <f>-G107*H97</f>
        <v>-294467.40000000002</v>
      </c>
    </row>
    <row r="108" spans="1:8" ht="12.75" customHeight="1" x14ac:dyDescent="0.3">
      <c r="A108" s="79"/>
      <c r="B108" s="49"/>
      <c r="C108" s="49" t="str">
        <f>+C98</f>
        <v>Low Income</v>
      </c>
      <c r="D108" s="67"/>
      <c r="E108" s="68"/>
      <c r="F108" s="68"/>
      <c r="G108" s="80">
        <v>0</v>
      </c>
      <c r="H108" s="70">
        <f>-G108*H98</f>
        <v>0</v>
      </c>
    </row>
    <row r="109" spans="1:8" ht="12.75" customHeight="1" x14ac:dyDescent="0.3">
      <c r="A109" s="79"/>
      <c r="B109" s="49"/>
      <c r="C109" s="49" t="str">
        <f>+C100</f>
        <v>Market Rate Retail</v>
      </c>
      <c r="D109" s="67"/>
      <c r="E109" s="68"/>
      <c r="F109" s="68"/>
      <c r="G109" s="80">
        <v>0.1</v>
      </c>
      <c r="H109" s="70">
        <f>-G109*H100</f>
        <v>0</v>
      </c>
    </row>
    <row r="110" spans="1:8" x14ac:dyDescent="0.25">
      <c r="A110" s="38"/>
      <c r="B110" s="74"/>
      <c r="C110" s="74" t="str">
        <f>+C101</f>
        <v>Affordable Innovation</v>
      </c>
      <c r="D110" s="75"/>
      <c r="E110" s="76"/>
      <c r="F110" s="76"/>
      <c r="G110" s="81">
        <v>0.2</v>
      </c>
      <c r="H110" s="77">
        <f>-G110*H101</f>
        <v>0</v>
      </c>
    </row>
    <row r="111" spans="1:8" x14ac:dyDescent="0.25">
      <c r="A111" s="38"/>
      <c r="B111" s="49" t="s">
        <v>54</v>
      </c>
      <c r="C111" s="49"/>
      <c r="D111" s="67"/>
      <c r="E111" s="68"/>
      <c r="F111" s="68"/>
      <c r="G111" s="80"/>
      <c r="H111" s="70">
        <f>SUM(H107:H110)</f>
        <v>-294467.40000000002</v>
      </c>
    </row>
    <row r="112" spans="1:8" s="83" customFormat="1" ht="18.75" x14ac:dyDescent="0.3">
      <c r="A112" s="82"/>
      <c r="C112" s="45"/>
      <c r="D112" s="49"/>
      <c r="E112" s="49"/>
      <c r="F112" s="84"/>
      <c r="G112" s="85"/>
      <c r="H112" s="70"/>
    </row>
    <row r="113" spans="1:11" ht="18.75" x14ac:dyDescent="0.3">
      <c r="A113" s="79" t="s">
        <v>55</v>
      </c>
      <c r="B113" s="49"/>
      <c r="C113" s="49"/>
      <c r="D113" s="67"/>
      <c r="E113" s="68"/>
      <c r="F113" s="68"/>
      <c r="G113" s="68"/>
      <c r="H113" s="70">
        <f>+H103+H111</f>
        <v>6353362.5473684203</v>
      </c>
      <c r="I113" s="1"/>
      <c r="J113" s="1"/>
      <c r="K113" s="1"/>
    </row>
    <row r="114" spans="1:11" x14ac:dyDescent="0.25">
      <c r="A114" s="38"/>
      <c r="B114" s="49"/>
      <c r="C114" s="49"/>
      <c r="D114" s="67"/>
      <c r="E114" s="68"/>
      <c r="F114" s="68"/>
      <c r="G114" s="68"/>
      <c r="H114" s="70"/>
      <c r="I114" s="1"/>
      <c r="J114" s="1"/>
      <c r="K114" s="1"/>
    </row>
    <row r="115" spans="1:11" ht="18.75" x14ac:dyDescent="0.3">
      <c r="A115" s="79" t="s">
        <v>56</v>
      </c>
      <c r="B115" s="49"/>
      <c r="C115" s="49"/>
      <c r="D115" s="49"/>
      <c r="E115" s="49"/>
      <c r="F115" s="49"/>
      <c r="G115" s="49"/>
      <c r="H115" s="70"/>
      <c r="I115" s="1"/>
      <c r="J115" s="1" t="s">
        <v>99</v>
      </c>
      <c r="K115" s="1"/>
    </row>
    <row r="116" spans="1:11" x14ac:dyDescent="0.25">
      <c r="A116" s="38"/>
      <c r="B116" s="49" t="s">
        <v>57</v>
      </c>
      <c r="C116" s="49" t="s">
        <v>58</v>
      </c>
      <c r="D116" s="49"/>
      <c r="E116" s="49"/>
      <c r="F116" s="68">
        <v>7500</v>
      </c>
      <c r="G116" s="68" t="s">
        <v>59</v>
      </c>
      <c r="H116" s="70">
        <f>-F116*D103</f>
        <v>-1430013.1578947369</v>
      </c>
      <c r="I116" s="1"/>
      <c r="J116" s="1"/>
      <c r="K116" s="1"/>
    </row>
    <row r="117" spans="1:11" x14ac:dyDescent="0.25">
      <c r="A117" s="38"/>
      <c r="B117" s="49"/>
      <c r="C117" s="49" t="s">
        <v>60</v>
      </c>
      <c r="D117" s="78">
        <v>7.0000000000000007E-2</v>
      </c>
      <c r="E117" s="49" t="s">
        <v>61</v>
      </c>
      <c r="F117" s="68">
        <f>ROUND(-H117/D103,-2)</f>
        <v>2400</v>
      </c>
      <c r="G117" s="68" t="s">
        <v>59</v>
      </c>
      <c r="H117" s="70">
        <f>(H97+H98+H102)*-D117</f>
        <v>-465348.0963157895</v>
      </c>
      <c r="I117" s="1"/>
      <c r="J117" s="1"/>
      <c r="K117" s="1"/>
    </row>
    <row r="118" spans="1:11" x14ac:dyDescent="0.25">
      <c r="A118" s="38"/>
      <c r="B118" s="49"/>
      <c r="C118" s="49" t="s">
        <v>62</v>
      </c>
      <c r="D118" s="80">
        <v>2.5000000000000001E-2</v>
      </c>
      <c r="E118" s="49" t="s">
        <v>63</v>
      </c>
      <c r="F118" s="68">
        <f>-H118/D103</f>
        <v>828.06560403842434</v>
      </c>
      <c r="G118" s="68" t="s">
        <v>59</v>
      </c>
      <c r="H118" s="70">
        <f>-D118*((H97+H98+H102)*(1-G107))</f>
        <v>-157885.96124999999</v>
      </c>
      <c r="I118" s="1"/>
      <c r="J118" s="1"/>
      <c r="K118" s="1"/>
    </row>
    <row r="119" spans="1:11" x14ac:dyDescent="0.25">
      <c r="A119" s="38"/>
      <c r="B119" s="49"/>
      <c r="C119" s="49" t="s">
        <v>64</v>
      </c>
      <c r="D119" s="49"/>
      <c r="E119" s="49"/>
      <c r="F119" s="68">
        <v>250</v>
      </c>
      <c r="G119" s="68" t="s">
        <v>59</v>
      </c>
      <c r="H119" s="70">
        <f>-F119*D103</f>
        <v>-47667.105263157893</v>
      </c>
      <c r="I119" s="1"/>
      <c r="J119" s="1"/>
      <c r="K119" s="1"/>
    </row>
    <row r="120" spans="1:11" x14ac:dyDescent="0.25">
      <c r="A120" s="38"/>
      <c r="B120" s="74" t="s">
        <v>46</v>
      </c>
      <c r="C120" s="86" t="s">
        <v>65</v>
      </c>
      <c r="D120" s="74"/>
      <c r="E120" s="74"/>
      <c r="F120" s="87">
        <v>0.02</v>
      </c>
      <c r="G120" s="74" t="s">
        <v>66</v>
      </c>
      <c r="H120" s="77">
        <f>-F120*(H100+H101)</f>
        <v>0</v>
      </c>
      <c r="I120" s="1"/>
      <c r="J120" s="1"/>
      <c r="K120" s="1"/>
    </row>
    <row r="121" spans="1:11" x14ac:dyDescent="0.25">
      <c r="A121" s="38"/>
      <c r="B121" s="49" t="s">
        <v>67</v>
      </c>
      <c r="C121" s="49"/>
      <c r="D121" s="78">
        <f>-H121/H113</f>
        <v>0.33067754359364998</v>
      </c>
      <c r="E121" s="68" t="s">
        <v>68</v>
      </c>
      <c r="F121" s="68">
        <f>-H121/D103</f>
        <v>11018.680015941149</v>
      </c>
      <c r="G121" s="68" t="s">
        <v>59</v>
      </c>
      <c r="H121" s="70">
        <f>SUM(H116:H120)</f>
        <v>-2100914.320723684</v>
      </c>
      <c r="I121" s="1"/>
      <c r="J121" s="1"/>
      <c r="K121" s="1"/>
    </row>
    <row r="122" spans="1:11" ht="15.75" thickBot="1" x14ac:dyDescent="0.3">
      <c r="A122" s="38"/>
      <c r="B122" s="49"/>
      <c r="C122" s="49"/>
      <c r="D122" s="49"/>
      <c r="E122" s="32"/>
      <c r="F122" s="49"/>
      <c r="G122" s="49"/>
      <c r="H122" s="70"/>
      <c r="I122" s="1"/>
      <c r="J122" s="1"/>
      <c r="K122" s="1"/>
    </row>
    <row r="123" spans="1:11" ht="18.75" x14ac:dyDescent="0.3">
      <c r="A123" s="79" t="s">
        <v>69</v>
      </c>
      <c r="B123" s="49"/>
      <c r="C123" s="49"/>
      <c r="D123" s="78">
        <f>+H123/H113</f>
        <v>0.66932245640634991</v>
      </c>
      <c r="E123" s="68" t="s">
        <v>68</v>
      </c>
      <c r="F123" s="68">
        <f>+H123/D103</f>
        <v>22302.844924020752</v>
      </c>
      <c r="G123" s="68" t="s">
        <v>59</v>
      </c>
      <c r="H123" s="70">
        <f>+H113+H121</f>
        <v>4252448.2266447358</v>
      </c>
      <c r="I123" s="1"/>
      <c r="J123" s="88">
        <f>+H123/1.25</f>
        <v>3401958.5813157884</v>
      </c>
      <c r="K123" s="89" t="s">
        <v>70</v>
      </c>
    </row>
    <row r="124" spans="1:11" x14ac:dyDescent="0.25">
      <c r="A124" s="38"/>
      <c r="B124" s="49"/>
      <c r="C124" s="49"/>
      <c r="D124" s="49"/>
      <c r="E124" s="49"/>
      <c r="F124" s="49"/>
      <c r="G124" s="49"/>
      <c r="H124" s="70"/>
      <c r="I124" s="1"/>
      <c r="J124" s="90">
        <f>-J123/(PMT(0.04/12,30*12,1)*12)</f>
        <v>59381538.701349191</v>
      </c>
      <c r="K124" s="91" t="s">
        <v>71</v>
      </c>
    </row>
    <row r="125" spans="1:11" ht="18.75" x14ac:dyDescent="0.3">
      <c r="A125" s="79" t="s">
        <v>72</v>
      </c>
      <c r="B125" s="49"/>
      <c r="C125" s="49"/>
      <c r="D125" s="49"/>
      <c r="E125" s="49"/>
      <c r="F125" s="49"/>
      <c r="G125" s="49"/>
      <c r="H125" s="70"/>
      <c r="I125" s="1"/>
      <c r="J125" s="92">
        <f>+H139-J124</f>
        <v>8118461.2986508086</v>
      </c>
      <c r="K125" s="91" t="s">
        <v>73</v>
      </c>
    </row>
    <row r="126" spans="1:11" x14ac:dyDescent="0.25">
      <c r="A126" s="38"/>
      <c r="B126" s="49" t="s">
        <v>74</v>
      </c>
      <c r="C126" s="49"/>
      <c r="D126" s="49"/>
      <c r="E126" s="93" t="s">
        <v>75</v>
      </c>
      <c r="F126" s="94">
        <v>0.05</v>
      </c>
      <c r="G126" s="49" t="s">
        <v>76</v>
      </c>
      <c r="H126" s="70">
        <f>+H123/F126</f>
        <v>85048964.532894716</v>
      </c>
      <c r="I126" s="1"/>
      <c r="J126" s="92">
        <f>+H123-J123</f>
        <v>850489.64532894734</v>
      </c>
      <c r="K126" s="91" t="s">
        <v>77</v>
      </c>
    </row>
    <row r="127" spans="1:11" ht="15.75" thickBot="1" x14ac:dyDescent="0.3">
      <c r="A127" s="38"/>
      <c r="B127" s="49"/>
      <c r="C127" s="49"/>
      <c r="D127" s="49"/>
      <c r="E127" s="49"/>
      <c r="F127" s="49"/>
      <c r="G127" s="93" t="s">
        <v>78</v>
      </c>
      <c r="H127" s="70">
        <f>ROUND(H126,-5)</f>
        <v>85000000</v>
      </c>
      <c r="I127" s="1"/>
      <c r="J127" s="95">
        <f>+J126/J125</f>
        <v>0.10475995561748734</v>
      </c>
      <c r="K127" s="96" t="s">
        <v>79</v>
      </c>
    </row>
    <row r="128" spans="1:11" x14ac:dyDescent="0.25">
      <c r="A128" s="38"/>
      <c r="B128" s="49"/>
      <c r="C128" s="49"/>
      <c r="D128" s="49"/>
      <c r="E128" s="49"/>
      <c r="F128" s="49"/>
      <c r="G128" s="93" t="s">
        <v>80</v>
      </c>
      <c r="H128" s="70">
        <f>+H127/E104</f>
        <v>469.26325668700139</v>
      </c>
      <c r="I128" s="1"/>
      <c r="J128" s="1"/>
      <c r="K128" s="1"/>
    </row>
    <row r="129" spans="1:11" x14ac:dyDescent="0.25">
      <c r="A129" s="38"/>
      <c r="B129" s="49"/>
      <c r="C129" s="49"/>
      <c r="D129" s="49"/>
      <c r="E129" s="49"/>
      <c r="F129" s="49"/>
      <c r="G129" s="93" t="s">
        <v>59</v>
      </c>
      <c r="H129" s="70">
        <f>+H127/D103</f>
        <v>445800.09385265136</v>
      </c>
      <c r="I129" s="1"/>
      <c r="J129" s="1">
        <v>646091.59779614327</v>
      </c>
      <c r="K129" s="2">
        <f>+J129-H129</f>
        <v>200291.5039434919</v>
      </c>
    </row>
    <row r="130" spans="1:11" x14ac:dyDescent="0.25">
      <c r="A130" s="97"/>
      <c r="B130" s="74"/>
      <c r="C130" s="74"/>
      <c r="D130" s="74"/>
      <c r="E130" s="74"/>
      <c r="F130" s="74"/>
      <c r="G130" s="98"/>
      <c r="H130" s="77"/>
      <c r="I130" s="1"/>
      <c r="J130" s="1"/>
      <c r="K130" s="1"/>
    </row>
    <row r="131" spans="1:11" x14ac:dyDescent="0.25">
      <c r="A131" s="38"/>
      <c r="B131" s="49"/>
      <c r="C131" s="49"/>
      <c r="D131" s="49"/>
      <c r="E131" s="49"/>
      <c r="F131" s="94"/>
      <c r="G131" s="49"/>
      <c r="H131" s="70"/>
      <c r="I131" s="1"/>
      <c r="J131" s="1"/>
      <c r="K131" s="1"/>
    </row>
    <row r="132" spans="1:11" ht="19.5" thickBot="1" x14ac:dyDescent="0.35">
      <c r="A132" s="79" t="s">
        <v>81</v>
      </c>
      <c r="B132" s="49"/>
      <c r="C132" s="49"/>
      <c r="D132" s="49"/>
      <c r="E132" s="49"/>
      <c r="F132" s="49"/>
      <c r="G132" s="49"/>
      <c r="H132" s="70"/>
      <c r="I132" s="1"/>
      <c r="J132" s="1"/>
      <c r="K132" s="1"/>
    </row>
    <row r="133" spans="1:11" ht="19.5" thickBot="1" x14ac:dyDescent="0.35">
      <c r="A133" s="79"/>
      <c r="B133" s="49" t="s">
        <v>82</v>
      </c>
      <c r="C133" s="49"/>
      <c r="D133" s="68">
        <f>+H133/D103</f>
        <v>34236.660501835649</v>
      </c>
      <c r="E133" s="49" t="s">
        <v>59</v>
      </c>
      <c r="F133" s="73">
        <v>70</v>
      </c>
      <c r="G133" s="49" t="s">
        <v>83</v>
      </c>
      <c r="H133" s="99">
        <f>F133*H79</f>
        <v>6527850</v>
      </c>
      <c r="I133" s="1"/>
      <c r="J133" s="1"/>
      <c r="K133" s="1"/>
    </row>
    <row r="134" spans="1:11" ht="12.75" customHeight="1" x14ac:dyDescent="0.3">
      <c r="A134" s="79"/>
      <c r="B134" s="49" t="s">
        <v>84</v>
      </c>
      <c r="C134" s="49"/>
      <c r="D134" s="68">
        <v>300000</v>
      </c>
      <c r="E134" s="49" t="s">
        <v>59</v>
      </c>
      <c r="F134" s="67">
        <f>H89</f>
        <v>0</v>
      </c>
      <c r="G134" s="49" t="s">
        <v>35</v>
      </c>
      <c r="H134" s="70">
        <f>+F134*D134</f>
        <v>0</v>
      </c>
      <c r="I134" s="1"/>
      <c r="J134" s="1"/>
      <c r="K134" s="1"/>
    </row>
    <row r="135" spans="1:11" x14ac:dyDescent="0.25">
      <c r="A135" s="38"/>
      <c r="B135" s="49" t="s">
        <v>57</v>
      </c>
      <c r="C135" s="49"/>
      <c r="D135" s="49"/>
      <c r="E135" s="49"/>
      <c r="F135" s="73">
        <f>280*0.92</f>
        <v>257.60000000000002</v>
      </c>
      <c r="G135" s="49" t="s">
        <v>85</v>
      </c>
      <c r="H135" s="70">
        <f>+F135*E104</f>
        <v>46660376.000000007</v>
      </c>
      <c r="I135" s="1"/>
      <c r="J135" s="1"/>
      <c r="K135" s="1"/>
    </row>
    <row r="136" spans="1:11" x14ac:dyDescent="0.25">
      <c r="A136" s="38"/>
      <c r="B136" s="49" t="s">
        <v>46</v>
      </c>
      <c r="C136" s="49"/>
      <c r="D136" s="49"/>
      <c r="E136" s="49"/>
      <c r="F136" s="73">
        <v>280</v>
      </c>
      <c r="G136" s="49" t="s">
        <v>85</v>
      </c>
      <c r="H136" s="70">
        <f>F136*(E105)</f>
        <v>0</v>
      </c>
      <c r="I136" s="1"/>
      <c r="J136" s="1"/>
      <c r="K136" s="1"/>
    </row>
    <row r="137" spans="1:11" x14ac:dyDescent="0.25">
      <c r="A137" s="38"/>
      <c r="B137" s="49" t="s">
        <v>86</v>
      </c>
      <c r="C137" s="49" t="s">
        <v>87</v>
      </c>
      <c r="D137" s="67">
        <f>+D102</f>
        <v>143.00131578947367</v>
      </c>
      <c r="E137" s="32" t="s">
        <v>88</v>
      </c>
      <c r="F137" s="68">
        <v>35000</v>
      </c>
      <c r="G137" s="49" t="s">
        <v>89</v>
      </c>
      <c r="H137" s="70">
        <f>+F137*D102</f>
        <v>5005046.0526315784</v>
      </c>
      <c r="I137" s="1"/>
      <c r="J137" s="1"/>
      <c r="K137" s="1"/>
    </row>
    <row r="138" spans="1:11" x14ac:dyDescent="0.25">
      <c r="A138" s="38"/>
      <c r="B138" s="74" t="s">
        <v>90</v>
      </c>
      <c r="C138" s="74"/>
      <c r="D138" s="74"/>
      <c r="E138" s="74"/>
      <c r="F138" s="87">
        <v>0.2</v>
      </c>
      <c r="G138" s="74" t="s">
        <v>91</v>
      </c>
      <c r="H138" s="77">
        <f>ROUND((H135+H136)*F138,-5)</f>
        <v>9300000</v>
      </c>
      <c r="I138" s="1"/>
      <c r="J138" s="1"/>
      <c r="K138" s="1"/>
    </row>
    <row r="139" spans="1:11" x14ac:dyDescent="0.25">
      <c r="A139" s="38"/>
      <c r="B139" s="49"/>
      <c r="C139" s="49"/>
      <c r="D139" s="49"/>
      <c r="E139" s="49"/>
      <c r="F139" s="49"/>
      <c r="G139" s="93" t="s">
        <v>78</v>
      </c>
      <c r="H139" s="70">
        <f>ROUND(SUM(H133:H138),-5)</f>
        <v>67500000</v>
      </c>
      <c r="I139" s="1"/>
      <c r="J139" s="1"/>
      <c r="K139" s="1"/>
    </row>
    <row r="140" spans="1:11" x14ac:dyDescent="0.25">
      <c r="A140" s="38"/>
      <c r="B140" s="49"/>
      <c r="C140" s="49"/>
      <c r="D140" s="49"/>
      <c r="E140" s="49"/>
      <c r="F140" s="49"/>
      <c r="G140" s="93" t="s">
        <v>80</v>
      </c>
      <c r="H140" s="70">
        <f>+H139/(E104+E105)</f>
        <v>372.65023325144227</v>
      </c>
      <c r="I140" s="1"/>
      <c r="J140" s="1"/>
      <c r="K140" s="1"/>
    </row>
    <row r="141" spans="1:11" x14ac:dyDescent="0.25">
      <c r="A141" s="38"/>
      <c r="B141" s="49"/>
      <c r="C141" s="49"/>
      <c r="D141" s="49"/>
      <c r="E141" s="49"/>
      <c r="F141" s="49"/>
      <c r="G141" s="93" t="s">
        <v>59</v>
      </c>
      <c r="H141" s="70">
        <f>+H139/H82</f>
        <v>354017.72158887022</v>
      </c>
      <c r="I141" s="1"/>
      <c r="J141" s="1">
        <v>486340.6795224977</v>
      </c>
      <c r="K141" s="1"/>
    </row>
    <row r="142" spans="1:11" x14ac:dyDescent="0.25">
      <c r="A142" s="38"/>
      <c r="B142" s="49"/>
      <c r="C142" s="49"/>
      <c r="D142" s="49"/>
      <c r="E142" s="49"/>
      <c r="F142" s="49"/>
      <c r="G142" s="49"/>
      <c r="H142" s="70"/>
      <c r="I142" s="1"/>
      <c r="J142" s="1"/>
      <c r="K142" s="1"/>
    </row>
    <row r="143" spans="1:11" ht="18.75" x14ac:dyDescent="0.3">
      <c r="A143" s="100" t="s">
        <v>92</v>
      </c>
      <c r="B143" s="49"/>
      <c r="C143" s="49"/>
      <c r="D143" s="49"/>
      <c r="E143" s="93" t="s">
        <v>93</v>
      </c>
      <c r="F143" s="80">
        <f>+H123/H139</f>
        <v>6.2999232987329415E-2</v>
      </c>
      <c r="G143" s="93" t="s">
        <v>94</v>
      </c>
      <c r="H143" s="70">
        <f>+H127-H139</f>
        <v>17500000</v>
      </c>
      <c r="I143" s="1"/>
      <c r="J143" s="1"/>
      <c r="K143" s="1"/>
    </row>
    <row r="144" spans="1:11" ht="15.75" thickBot="1" x14ac:dyDescent="0.3">
      <c r="A144" s="101"/>
      <c r="B144" s="102"/>
      <c r="C144" s="102"/>
      <c r="D144" s="103"/>
      <c r="E144" s="103"/>
      <c r="F144" s="103"/>
      <c r="G144" s="102"/>
      <c r="H144" s="104"/>
      <c r="I144" s="1"/>
      <c r="J144" s="1"/>
      <c r="K144" s="1"/>
    </row>
    <row r="145" spans="1:11" ht="15.75" thickBot="1" x14ac:dyDescent="0.3">
      <c r="A145" s="38"/>
      <c r="B145" s="32"/>
      <c r="C145" s="32"/>
      <c r="D145" s="32"/>
      <c r="E145" s="32"/>
      <c r="F145" s="32"/>
      <c r="G145" s="32"/>
      <c r="H145" s="32"/>
      <c r="I145" s="1"/>
      <c r="J145" s="1"/>
    </row>
    <row r="146" spans="1:11" ht="18.75" x14ac:dyDescent="0.3">
      <c r="A146" s="3" t="s">
        <v>7</v>
      </c>
      <c r="B146" s="4"/>
      <c r="C146" s="5" t="s">
        <v>8</v>
      </c>
      <c r="D146" s="6" t="s">
        <v>9</v>
      </c>
      <c r="E146" s="7"/>
      <c r="F146" s="7"/>
      <c r="G146" s="8" t="s">
        <v>10</v>
      </c>
      <c r="H146" s="25" t="s">
        <v>11</v>
      </c>
      <c r="I146" s="1"/>
      <c r="J146" s="1"/>
    </row>
    <row r="147" spans="1:11" ht="18.75" x14ac:dyDescent="0.3">
      <c r="A147" s="26" t="s">
        <v>12</v>
      </c>
      <c r="B147" s="27"/>
      <c r="C147" s="11"/>
      <c r="D147" s="28" t="s">
        <v>1</v>
      </c>
      <c r="E147" s="12" t="s">
        <v>13</v>
      </c>
      <c r="F147" s="29">
        <v>1</v>
      </c>
      <c r="G147" s="30" t="s">
        <v>14</v>
      </c>
      <c r="H147" s="31">
        <v>113559</v>
      </c>
      <c r="I147" s="1"/>
      <c r="J147" s="1"/>
    </row>
    <row r="148" spans="1:11" ht="18.75" x14ac:dyDescent="0.3">
      <c r="A148" s="26" t="s">
        <v>100</v>
      </c>
      <c r="B148" s="27"/>
      <c r="C148" s="32"/>
      <c r="D148" s="11" t="s">
        <v>16</v>
      </c>
      <c r="E148" s="12"/>
      <c r="F148" s="33"/>
      <c r="G148" s="14" t="s">
        <v>4</v>
      </c>
      <c r="H148" s="15">
        <f>H149/H147</f>
        <v>2.9484232865734992</v>
      </c>
      <c r="I148" s="148" t="s">
        <v>138</v>
      </c>
      <c r="J148" s="146"/>
      <c r="K148" s="144" t="s">
        <v>139</v>
      </c>
    </row>
    <row r="149" spans="1:11" ht="19.5" thickBot="1" x14ac:dyDescent="0.35">
      <c r="A149" s="34" t="s">
        <v>17</v>
      </c>
      <c r="B149" s="35"/>
      <c r="C149" s="36"/>
      <c r="D149" s="11" t="s">
        <v>18</v>
      </c>
      <c r="E149" s="17"/>
      <c r="F149" s="17"/>
      <c r="G149" s="37" t="s">
        <v>19</v>
      </c>
      <c r="H149" s="31">
        <v>334820</v>
      </c>
      <c r="I149" s="145">
        <f>H147*2</f>
        <v>227118</v>
      </c>
      <c r="J149" s="146" t="s">
        <v>137</v>
      </c>
      <c r="K149" s="144">
        <f>I149/G150</f>
        <v>239.07157894736841</v>
      </c>
    </row>
    <row r="150" spans="1:11" ht="18.75" x14ac:dyDescent="0.3">
      <c r="A150" s="38"/>
      <c r="B150" s="32"/>
      <c r="C150" s="36"/>
      <c r="D150" s="11" t="s">
        <v>5</v>
      </c>
      <c r="E150" s="17"/>
      <c r="F150" s="17"/>
      <c r="G150" s="18">
        <f>G82</f>
        <v>950</v>
      </c>
      <c r="H150" s="39">
        <f>H149/G150</f>
        <v>352.44210526315788</v>
      </c>
      <c r="I150" s="145">
        <f>H149-I149</f>
        <v>107702</v>
      </c>
      <c r="J150" s="147" t="s">
        <v>140</v>
      </c>
      <c r="K150" s="144">
        <f>I150/G150</f>
        <v>113.37052631578948</v>
      </c>
    </row>
    <row r="151" spans="1:11" ht="18.75" x14ac:dyDescent="0.3">
      <c r="A151" s="38"/>
      <c r="B151" s="32"/>
      <c r="C151" s="1"/>
      <c r="D151" s="11" t="s">
        <v>20</v>
      </c>
      <c r="E151" s="17"/>
      <c r="F151" s="17"/>
      <c r="G151" s="41"/>
      <c r="H151" s="42">
        <v>0.75</v>
      </c>
      <c r="I151" s="143"/>
      <c r="J151" s="143"/>
      <c r="K151" s="144">
        <f>SUM(K149:K150)</f>
        <v>352.44210526315788</v>
      </c>
    </row>
    <row r="152" spans="1:11" ht="18.75" x14ac:dyDescent="0.3">
      <c r="A152" s="38"/>
      <c r="B152" s="32"/>
      <c r="C152" s="21" t="s">
        <v>21</v>
      </c>
      <c r="D152" s="21" t="s">
        <v>101</v>
      </c>
      <c r="E152" s="22"/>
      <c r="F152" s="22"/>
      <c r="G152" s="21"/>
      <c r="H152" s="141">
        <f>K149*0.13</f>
        <v>31.079305263157895</v>
      </c>
      <c r="I152" s="44">
        <f>H150*0.2</f>
        <v>70.48842105263158</v>
      </c>
      <c r="J152" s="1"/>
    </row>
    <row r="153" spans="1:11" ht="18.75" x14ac:dyDescent="0.3">
      <c r="A153" s="38"/>
      <c r="B153" s="32"/>
      <c r="C153" s="45"/>
      <c r="D153" s="21" t="s">
        <v>102</v>
      </c>
      <c r="E153" s="22"/>
      <c r="F153" s="22"/>
      <c r="G153" s="21"/>
      <c r="H153" s="141">
        <f>K150*0.27</f>
        <v>30.610042105263162</v>
      </c>
      <c r="I153" s="1"/>
      <c r="J153" s="1"/>
    </row>
    <row r="154" spans="1:11" ht="18.75" x14ac:dyDescent="0.3">
      <c r="A154" s="38"/>
      <c r="B154" s="32"/>
      <c r="C154" s="45"/>
      <c r="D154" s="21" t="s">
        <v>23</v>
      </c>
      <c r="E154" s="22"/>
      <c r="F154" s="22"/>
      <c r="G154" s="21"/>
      <c r="H154" s="141">
        <f>SUM(H152:H153)</f>
        <v>61.689347368421053</v>
      </c>
      <c r="I154" s="1"/>
      <c r="J154" s="1"/>
    </row>
    <row r="155" spans="1:11" ht="18.75" x14ac:dyDescent="0.3">
      <c r="A155" s="38"/>
      <c r="B155" s="32"/>
      <c r="C155" s="1"/>
      <c r="D155" s="21" t="s">
        <v>24</v>
      </c>
      <c r="E155" s="22"/>
      <c r="F155" s="22"/>
      <c r="G155" s="21"/>
      <c r="H155" s="142">
        <f>(H154+H157)/H150</f>
        <v>0.17503398841168391</v>
      </c>
      <c r="I155" s="1"/>
      <c r="J155" s="1"/>
    </row>
    <row r="156" spans="1:11" ht="18.75" x14ac:dyDescent="0.3">
      <c r="A156" s="38"/>
      <c r="B156" s="32"/>
      <c r="C156" s="45"/>
      <c r="D156" s="21" t="s">
        <v>17</v>
      </c>
      <c r="E156" s="22"/>
      <c r="F156" s="22"/>
      <c r="G156" s="21"/>
      <c r="H156" s="47"/>
      <c r="I156" s="1"/>
      <c r="J156" s="1"/>
    </row>
    <row r="157" spans="1:11" ht="18.75" x14ac:dyDescent="0.3">
      <c r="A157" s="38"/>
      <c r="B157" s="32"/>
      <c r="C157" s="36"/>
      <c r="D157" s="21" t="s">
        <v>98</v>
      </c>
      <c r="E157" s="22"/>
      <c r="F157" s="22"/>
      <c r="G157" s="21"/>
      <c r="H157" s="23">
        <v>0</v>
      </c>
      <c r="I157" s="110">
        <f>I152-H154</f>
        <v>8.7990736842105264</v>
      </c>
      <c r="J157" s="1"/>
    </row>
    <row r="158" spans="1:11" ht="18.75" x14ac:dyDescent="0.3">
      <c r="A158" s="38"/>
      <c r="B158" s="32"/>
      <c r="C158" s="36"/>
      <c r="D158" s="21" t="s">
        <v>27</v>
      </c>
      <c r="E158" s="22"/>
      <c r="F158" s="22"/>
      <c r="G158" s="21"/>
      <c r="H158" s="48">
        <v>300000</v>
      </c>
      <c r="I158" s="1"/>
      <c r="J158" s="1"/>
    </row>
    <row r="159" spans="1:11" ht="19.5" thickBot="1" x14ac:dyDescent="0.35">
      <c r="A159" s="38"/>
      <c r="B159" s="32"/>
      <c r="C159" s="49"/>
      <c r="D159" s="45"/>
      <c r="E159" s="45"/>
      <c r="F159" s="49"/>
      <c r="G159" s="45"/>
      <c r="H159" s="50"/>
      <c r="I159" s="1"/>
      <c r="J159" s="1"/>
    </row>
    <row r="160" spans="1:11" ht="19.5" thickBot="1" x14ac:dyDescent="0.35">
      <c r="A160" s="38"/>
      <c r="B160" s="32"/>
      <c r="C160" s="51" t="s">
        <v>28</v>
      </c>
      <c r="D160" s="51" t="s">
        <v>29</v>
      </c>
      <c r="E160" s="52"/>
      <c r="F160" s="53">
        <v>6.0999999999999999E-2</v>
      </c>
      <c r="G160" s="54" t="s">
        <v>30</v>
      </c>
      <c r="H160" s="55">
        <f>+F211</f>
        <v>6.2027808229845639E-2</v>
      </c>
      <c r="I160" s="1"/>
      <c r="J160" s="1"/>
    </row>
    <row r="161" spans="1:8" ht="18.75" x14ac:dyDescent="0.3">
      <c r="A161" s="38"/>
      <c r="B161" s="32"/>
      <c r="C161" s="36"/>
      <c r="D161" s="51" t="s">
        <v>31</v>
      </c>
      <c r="E161" s="52"/>
      <c r="F161" s="56">
        <f>F93</f>
        <v>3.65</v>
      </c>
      <c r="G161" s="51" t="s">
        <v>32</v>
      </c>
      <c r="H161" s="57"/>
    </row>
    <row r="162" spans="1:8" ht="19.5" thickBot="1" x14ac:dyDescent="0.35">
      <c r="A162" s="38"/>
      <c r="B162" s="32"/>
      <c r="C162" s="32"/>
      <c r="D162" s="36"/>
      <c r="E162" s="45"/>
      <c r="F162" s="49"/>
      <c r="G162" s="45"/>
      <c r="H162" s="58"/>
    </row>
    <row r="163" spans="1:8" ht="18.75" x14ac:dyDescent="0.3">
      <c r="A163" s="59" t="s">
        <v>33</v>
      </c>
      <c r="B163" s="60"/>
      <c r="C163" s="60"/>
      <c r="D163" s="60"/>
      <c r="E163" s="60"/>
      <c r="F163" s="60"/>
      <c r="G163" s="60"/>
      <c r="H163" s="61"/>
    </row>
    <row r="164" spans="1:8" ht="30" x14ac:dyDescent="0.25">
      <c r="A164" s="62" t="s">
        <v>34</v>
      </c>
      <c r="B164" s="63"/>
      <c r="C164" s="63"/>
      <c r="D164" s="64" t="s">
        <v>35</v>
      </c>
      <c r="E164" s="64" t="s">
        <v>36</v>
      </c>
      <c r="F164" s="64" t="s">
        <v>37</v>
      </c>
      <c r="G164" s="64" t="s">
        <v>38</v>
      </c>
      <c r="H164" s="65" t="s">
        <v>39</v>
      </c>
    </row>
    <row r="165" spans="1:8" x14ac:dyDescent="0.25">
      <c r="A165" s="38"/>
      <c r="B165" s="49" t="s">
        <v>40</v>
      </c>
      <c r="C165" s="49" t="s">
        <v>41</v>
      </c>
      <c r="D165" s="66">
        <f>ROUND(H150-D166-D167,0)</f>
        <v>291</v>
      </c>
      <c r="E165" s="67">
        <v>810</v>
      </c>
      <c r="F165" s="68">
        <f>+G165*E165</f>
        <v>2956.5</v>
      </c>
      <c r="G165" s="69">
        <f>F161</f>
        <v>3.65</v>
      </c>
      <c r="H165" s="70">
        <f>+D165*F165*12</f>
        <v>10324098</v>
      </c>
    </row>
    <row r="166" spans="1:8" x14ac:dyDescent="0.25">
      <c r="A166" s="38"/>
      <c r="B166" s="71" t="s">
        <v>42</v>
      </c>
      <c r="C166" s="49" t="s">
        <v>43</v>
      </c>
      <c r="D166" s="66">
        <f>H152</f>
        <v>31.079305263157895</v>
      </c>
      <c r="E166" s="67">
        <v>810</v>
      </c>
      <c r="F166" s="68">
        <v>1098.26</v>
      </c>
      <c r="G166" s="72">
        <f>IF(H166=0,0,+H166/(E166*D166)/12)</f>
        <v>1.3558765432098765</v>
      </c>
      <c r="H166" s="70">
        <f>+F166*D166*12</f>
        <v>409597.8935797895</v>
      </c>
    </row>
    <row r="167" spans="1:8" x14ac:dyDescent="0.25">
      <c r="A167" s="38"/>
      <c r="B167" s="71" t="s">
        <v>44</v>
      </c>
      <c r="C167" s="49" t="s">
        <v>45</v>
      </c>
      <c r="D167" s="66">
        <f>H153</f>
        <v>30.610042105263162</v>
      </c>
      <c r="E167" s="67">
        <v>810</v>
      </c>
      <c r="F167" s="68">
        <v>784.93925925925919</v>
      </c>
      <c r="G167" s="73">
        <f>IF(H167=0,0,+H167/(E167*D167)/12)</f>
        <v>0.96906081390031995</v>
      </c>
      <c r="H167" s="70">
        <f>+F167*D167*12</f>
        <v>288324.28531200002</v>
      </c>
    </row>
    <row r="168" spans="1:8" x14ac:dyDescent="0.25">
      <c r="A168" s="38"/>
      <c r="B168" s="49" t="s">
        <v>46</v>
      </c>
      <c r="C168" s="49" t="s">
        <v>47</v>
      </c>
      <c r="D168" s="67">
        <v>0</v>
      </c>
      <c r="E168" s="67">
        <v>0</v>
      </c>
      <c r="F168" s="73">
        <v>0</v>
      </c>
      <c r="G168" s="73">
        <v>0</v>
      </c>
      <c r="H168" s="70">
        <f>+G168*E168*D168</f>
        <v>0</v>
      </c>
    </row>
    <row r="169" spans="1:8" x14ac:dyDescent="0.25">
      <c r="A169" s="38"/>
      <c r="B169" s="49"/>
      <c r="C169" s="49" t="s">
        <v>48</v>
      </c>
      <c r="D169" s="67">
        <v>0</v>
      </c>
      <c r="E169" s="67">
        <v>5000</v>
      </c>
      <c r="F169" s="73">
        <f>+G169/12</f>
        <v>0</v>
      </c>
      <c r="G169" s="73">
        <v>0</v>
      </c>
      <c r="H169" s="70">
        <f>+G169*E169*D169</f>
        <v>0</v>
      </c>
    </row>
    <row r="170" spans="1:8" x14ac:dyDescent="0.25">
      <c r="A170" s="38"/>
      <c r="B170" s="74" t="s">
        <v>49</v>
      </c>
      <c r="C170" s="74"/>
      <c r="D170" s="75">
        <f>+H150*H151</f>
        <v>264.33157894736843</v>
      </c>
      <c r="E170" s="76"/>
      <c r="F170" s="76"/>
      <c r="G170" s="76">
        <v>250</v>
      </c>
      <c r="H170" s="77">
        <f>+D170*G170*12</f>
        <v>792994.73684210528</v>
      </c>
    </row>
    <row r="171" spans="1:8" x14ac:dyDescent="0.25">
      <c r="A171" s="38"/>
      <c r="B171" s="49" t="s">
        <v>50</v>
      </c>
      <c r="C171" s="49"/>
      <c r="D171" s="66">
        <f>+H150</f>
        <v>352.44210526315788</v>
      </c>
      <c r="E171" s="67">
        <f>(E165*D165)+(E166*D166)</f>
        <v>260884.23726315791</v>
      </c>
      <c r="F171" s="73"/>
      <c r="G171" s="68"/>
      <c r="H171" s="70">
        <f>SUM(H165:H170)</f>
        <v>11815014.915733896</v>
      </c>
    </row>
    <row r="172" spans="1:8" x14ac:dyDescent="0.25">
      <c r="A172" s="38"/>
      <c r="B172" s="49" t="s">
        <v>51</v>
      </c>
      <c r="C172" s="49"/>
      <c r="D172" s="78">
        <v>0.85</v>
      </c>
      <c r="E172" s="67">
        <f>+H149</f>
        <v>334820</v>
      </c>
      <c r="F172" s="68"/>
      <c r="G172" s="68"/>
      <c r="H172" s="70"/>
    </row>
    <row r="173" spans="1:8" x14ac:dyDescent="0.25">
      <c r="A173" s="38"/>
      <c r="B173" s="49" t="s">
        <v>52</v>
      </c>
      <c r="C173" s="49"/>
      <c r="D173" s="78">
        <v>1</v>
      </c>
      <c r="E173" s="67">
        <f>(E168*D168)+(D169*E169)</f>
        <v>0</v>
      </c>
      <c r="F173" s="68"/>
      <c r="G173" s="68"/>
      <c r="H173" s="70"/>
    </row>
    <row r="174" spans="1:8" x14ac:dyDescent="0.25">
      <c r="A174" s="38"/>
      <c r="B174" s="49"/>
      <c r="C174" s="49"/>
      <c r="D174" s="67"/>
      <c r="E174" s="68"/>
      <c r="F174" s="68"/>
      <c r="G174" s="68"/>
      <c r="H174" s="70"/>
    </row>
    <row r="175" spans="1:8" ht="18.75" x14ac:dyDescent="0.3">
      <c r="A175" s="79" t="s">
        <v>53</v>
      </c>
      <c r="B175" s="49"/>
      <c r="C175" s="49" t="str">
        <f>+C165</f>
        <v>Market Rate</v>
      </c>
      <c r="D175" s="67"/>
      <c r="E175" s="68"/>
      <c r="F175" s="68"/>
      <c r="G175" s="80">
        <v>0.05</v>
      </c>
      <c r="H175" s="70">
        <f>-G175*H165</f>
        <v>-516204.9</v>
      </c>
    </row>
    <row r="176" spans="1:8" ht="12.75" customHeight="1" x14ac:dyDescent="0.3">
      <c r="A176" s="79"/>
      <c r="B176" s="49"/>
      <c r="C176" s="49" t="str">
        <f>+C166</f>
        <v>Low Income</v>
      </c>
      <c r="D176" s="67"/>
      <c r="E176" s="68"/>
      <c r="F176" s="68"/>
      <c r="G176" s="80">
        <v>0</v>
      </c>
      <c r="H176" s="70">
        <f>-G176*H166</f>
        <v>0</v>
      </c>
    </row>
    <row r="177" spans="1:11" ht="12.75" customHeight="1" x14ac:dyDescent="0.3">
      <c r="A177" s="79"/>
      <c r="B177" s="49"/>
      <c r="C177" s="49" t="str">
        <f>+C168</f>
        <v>Market Rate Retail</v>
      </c>
      <c r="D177" s="67"/>
      <c r="E177" s="68"/>
      <c r="F177" s="68"/>
      <c r="G177" s="80">
        <v>0.1</v>
      </c>
      <c r="H177" s="70">
        <f>-G177*H168</f>
        <v>0</v>
      </c>
      <c r="I177" s="1"/>
      <c r="J177" s="1"/>
      <c r="K177" s="1"/>
    </row>
    <row r="178" spans="1:11" x14ac:dyDescent="0.25">
      <c r="A178" s="38"/>
      <c r="B178" s="74"/>
      <c r="C178" s="74" t="str">
        <f>+C169</f>
        <v>Affordable Innovation</v>
      </c>
      <c r="D178" s="75"/>
      <c r="E178" s="76"/>
      <c r="F178" s="76"/>
      <c r="G178" s="81">
        <v>0.2</v>
      </c>
      <c r="H178" s="77">
        <f>-G178*H169</f>
        <v>0</v>
      </c>
      <c r="I178" s="1"/>
      <c r="J178" s="1"/>
      <c r="K178" s="1"/>
    </row>
    <row r="179" spans="1:11" x14ac:dyDescent="0.25">
      <c r="A179" s="38"/>
      <c r="B179" s="49" t="s">
        <v>54</v>
      </c>
      <c r="C179" s="49"/>
      <c r="D179" s="67"/>
      <c r="E179" s="68"/>
      <c r="F179" s="68"/>
      <c r="G179" s="80"/>
      <c r="H179" s="70">
        <f>SUM(H175:H178)</f>
        <v>-516204.9</v>
      </c>
      <c r="I179" s="1"/>
      <c r="J179" s="1"/>
      <c r="K179" s="1"/>
    </row>
    <row r="180" spans="1:11" s="83" customFormat="1" ht="18.75" x14ac:dyDescent="0.3">
      <c r="A180" s="82"/>
      <c r="C180" s="45"/>
      <c r="D180" s="49"/>
      <c r="E180" s="49"/>
      <c r="F180" s="84"/>
      <c r="G180" s="85"/>
      <c r="H180" s="70"/>
    </row>
    <row r="181" spans="1:11" ht="18.75" x14ac:dyDescent="0.3">
      <c r="A181" s="79" t="s">
        <v>55</v>
      </c>
      <c r="B181" s="49"/>
      <c r="C181" s="49"/>
      <c r="D181" s="67"/>
      <c r="E181" s="68"/>
      <c r="F181" s="68"/>
      <c r="G181" s="68"/>
      <c r="H181" s="70">
        <f>+H171+H179</f>
        <v>11298810.015733896</v>
      </c>
      <c r="I181" s="1"/>
      <c r="J181" s="1"/>
      <c r="K181" s="1"/>
    </row>
    <row r="182" spans="1:11" x14ac:dyDescent="0.25">
      <c r="A182" s="38"/>
      <c r="B182" s="49"/>
      <c r="C182" s="49"/>
      <c r="D182" s="67"/>
      <c r="E182" s="68"/>
      <c r="F182" s="68"/>
      <c r="G182" s="68"/>
      <c r="H182" s="70"/>
      <c r="I182" s="1"/>
      <c r="J182" s="1"/>
      <c r="K182" s="1"/>
    </row>
    <row r="183" spans="1:11" ht="18.75" x14ac:dyDescent="0.3">
      <c r="A183" s="79" t="s">
        <v>56</v>
      </c>
      <c r="B183" s="49"/>
      <c r="C183" s="49"/>
      <c r="D183" s="49"/>
      <c r="E183" s="49"/>
      <c r="F183" s="49"/>
      <c r="G183" s="49"/>
      <c r="H183" s="70"/>
      <c r="I183" s="1"/>
      <c r="J183" s="1"/>
      <c r="K183" s="1"/>
    </row>
    <row r="184" spans="1:11" x14ac:dyDescent="0.25">
      <c r="A184" s="38"/>
      <c r="B184" s="49" t="s">
        <v>57</v>
      </c>
      <c r="C184" s="49" t="s">
        <v>58</v>
      </c>
      <c r="D184" s="49"/>
      <c r="E184" s="49"/>
      <c r="F184" s="68">
        <v>7500</v>
      </c>
      <c r="G184" s="68" t="s">
        <v>59</v>
      </c>
      <c r="H184" s="70">
        <f>-F184*D171</f>
        <v>-2643315.789473684</v>
      </c>
      <c r="I184" s="1"/>
      <c r="J184" s="1"/>
      <c r="K184" s="1"/>
    </row>
    <row r="185" spans="1:11" x14ac:dyDescent="0.25">
      <c r="A185" s="38"/>
      <c r="B185" s="49"/>
      <c r="C185" s="49" t="s">
        <v>60</v>
      </c>
      <c r="D185" s="78">
        <v>7.0000000000000007E-2</v>
      </c>
      <c r="E185" s="49" t="s">
        <v>61</v>
      </c>
      <c r="F185" s="68">
        <f>ROUND(-H185/D171,-2)</f>
        <v>2300</v>
      </c>
      <c r="G185" s="68" t="s">
        <v>59</v>
      </c>
      <c r="H185" s="70">
        <f>(H165+H166+H170)*-D185</f>
        <v>-806868.34412953281</v>
      </c>
      <c r="I185" s="1"/>
      <c r="J185" s="1"/>
      <c r="K185" s="1"/>
    </row>
    <row r="186" spans="1:11" x14ac:dyDescent="0.25">
      <c r="A186" s="38"/>
      <c r="B186" s="49"/>
      <c r="C186" s="49" t="s">
        <v>62</v>
      </c>
      <c r="D186" s="80">
        <v>2.5000000000000001E-2</v>
      </c>
      <c r="E186" s="49" t="s">
        <v>63</v>
      </c>
      <c r="F186" s="68">
        <f>-H186/D171</f>
        <v>776.74857340927667</v>
      </c>
      <c r="G186" s="68" t="s">
        <v>59</v>
      </c>
      <c r="H186" s="70">
        <f>-D186*((H165+H166+H170)*(1-G175))</f>
        <v>-273758.90247252001</v>
      </c>
      <c r="I186" s="1"/>
      <c r="J186" s="1"/>
      <c r="K186" s="1"/>
    </row>
    <row r="187" spans="1:11" x14ac:dyDescent="0.25">
      <c r="A187" s="38"/>
      <c r="B187" s="49"/>
      <c r="C187" s="49" t="s">
        <v>64</v>
      </c>
      <c r="D187" s="49"/>
      <c r="E187" s="49"/>
      <c r="F187" s="68">
        <v>250</v>
      </c>
      <c r="G187" s="68" t="s">
        <v>59</v>
      </c>
      <c r="H187" s="70">
        <f>-F187*D171</f>
        <v>-88110.526315789466</v>
      </c>
      <c r="I187" s="1"/>
      <c r="J187" s="1"/>
      <c r="K187" s="1"/>
    </row>
    <row r="188" spans="1:11" x14ac:dyDescent="0.25">
      <c r="A188" s="38"/>
      <c r="B188" s="74" t="s">
        <v>46</v>
      </c>
      <c r="C188" s="86" t="s">
        <v>65</v>
      </c>
      <c r="D188" s="74"/>
      <c r="E188" s="74"/>
      <c r="F188" s="87">
        <v>0.02</v>
      </c>
      <c r="G188" s="74" t="s">
        <v>66</v>
      </c>
      <c r="H188" s="77">
        <f>-F188*(H168+H169)</f>
        <v>0</v>
      </c>
      <c r="I188" s="1"/>
      <c r="J188" s="1"/>
      <c r="K188" s="1"/>
    </row>
    <row r="189" spans="1:11" x14ac:dyDescent="0.25">
      <c r="A189" s="38"/>
      <c r="B189" s="49" t="s">
        <v>67</v>
      </c>
      <c r="C189" s="49"/>
      <c r="D189" s="78">
        <f>-H189/H181</f>
        <v>0.33738540227538477</v>
      </c>
      <c r="E189" s="68" t="s">
        <v>68</v>
      </c>
      <c r="F189" s="68">
        <f>-H189/D171</f>
        <v>10816.112789773462</v>
      </c>
      <c r="G189" s="68" t="s">
        <v>59</v>
      </c>
      <c r="H189" s="70">
        <f>SUM(H184:H188)</f>
        <v>-3812053.562391527</v>
      </c>
      <c r="I189" s="1"/>
      <c r="J189" s="1"/>
      <c r="K189" s="1"/>
    </row>
    <row r="190" spans="1:11" ht="15.75" thickBot="1" x14ac:dyDescent="0.3">
      <c r="A190" s="38"/>
      <c r="B190" s="49"/>
      <c r="C190" s="49"/>
      <c r="D190" s="49"/>
      <c r="E190" s="32"/>
      <c r="F190" s="49"/>
      <c r="G190" s="49"/>
      <c r="H190" s="70"/>
      <c r="I190" s="1"/>
      <c r="J190" s="1"/>
      <c r="K190" s="1"/>
    </row>
    <row r="191" spans="1:11" ht="18.75" x14ac:dyDescent="0.3">
      <c r="A191" s="79" t="s">
        <v>69</v>
      </c>
      <c r="B191" s="49"/>
      <c r="C191" s="49"/>
      <c r="D191" s="78">
        <f>+H191/H181</f>
        <v>0.66261459772461517</v>
      </c>
      <c r="E191" s="68" t="s">
        <v>68</v>
      </c>
      <c r="F191" s="68">
        <f>+H191/D171</f>
        <v>21242.514278344337</v>
      </c>
      <c r="G191" s="68" t="s">
        <v>59</v>
      </c>
      <c r="H191" s="70">
        <f>+H181+H189</f>
        <v>7486756.4533423688</v>
      </c>
      <c r="I191" s="1"/>
      <c r="J191" s="88">
        <f>+H191/1.25</f>
        <v>5989405.1626738952</v>
      </c>
      <c r="K191" s="89" t="s">
        <v>70</v>
      </c>
    </row>
    <row r="192" spans="1:11" x14ac:dyDescent="0.25">
      <c r="A192" s="38"/>
      <c r="B192" s="49"/>
      <c r="C192" s="49"/>
      <c r="D192" s="49"/>
      <c r="E192" s="49"/>
      <c r="F192" s="49"/>
      <c r="G192" s="49"/>
      <c r="H192" s="70"/>
      <c r="I192" s="1"/>
      <c r="J192" s="90">
        <f>-J191/(PMT(0.04/12,30*12,1)*12)</f>
        <v>104545686.24636827</v>
      </c>
      <c r="K192" s="91" t="s">
        <v>71</v>
      </c>
    </row>
    <row r="193" spans="1:11" ht="18.75" x14ac:dyDescent="0.3">
      <c r="A193" s="79" t="s">
        <v>72</v>
      </c>
      <c r="B193" s="49"/>
      <c r="C193" s="49"/>
      <c r="D193" s="49"/>
      <c r="E193" s="49"/>
      <c r="F193" s="49"/>
      <c r="G193" s="49"/>
      <c r="H193" s="70"/>
      <c r="I193" s="1"/>
      <c r="J193" s="92">
        <f>+H207-J192</f>
        <v>16154313.753631726</v>
      </c>
      <c r="K193" s="91" t="s">
        <v>73</v>
      </c>
    </row>
    <row r="194" spans="1:11" x14ac:dyDescent="0.25">
      <c r="A194" s="38"/>
      <c r="B194" s="49" t="s">
        <v>74</v>
      </c>
      <c r="C194" s="49"/>
      <c r="D194" s="49"/>
      <c r="E194" s="93" t="s">
        <v>75</v>
      </c>
      <c r="F194" s="94">
        <v>0.05</v>
      </c>
      <c r="G194" s="49" t="s">
        <v>76</v>
      </c>
      <c r="H194" s="70">
        <f>+H191/F194</f>
        <v>149735129.06684735</v>
      </c>
      <c r="I194" s="1"/>
      <c r="J194" s="92">
        <f>+H191-J191</f>
        <v>1497351.2906684736</v>
      </c>
      <c r="K194" s="91" t="s">
        <v>77</v>
      </c>
    </row>
    <row r="195" spans="1:11" ht="15.75" thickBot="1" x14ac:dyDescent="0.3">
      <c r="A195" s="38"/>
      <c r="B195" s="49"/>
      <c r="C195" s="49"/>
      <c r="D195" s="49"/>
      <c r="E195" s="49"/>
      <c r="F195" s="49"/>
      <c r="G195" s="93" t="s">
        <v>78</v>
      </c>
      <c r="H195" s="70">
        <f>ROUND(H194,-5)</f>
        <v>149700000</v>
      </c>
      <c r="I195" s="1"/>
      <c r="J195" s="95">
        <f>+J194/J193</f>
        <v>9.2690492057073429E-2</v>
      </c>
      <c r="K195" s="96" t="s">
        <v>79</v>
      </c>
    </row>
    <row r="196" spans="1:11" x14ac:dyDescent="0.25">
      <c r="A196" s="38"/>
      <c r="B196" s="49"/>
      <c r="C196" s="49"/>
      <c r="D196" s="49"/>
      <c r="E196" s="49"/>
      <c r="F196" s="49"/>
      <c r="G196" s="93" t="s">
        <v>80</v>
      </c>
      <c r="H196" s="70">
        <f>+H195/E172</f>
        <v>447.10590765187266</v>
      </c>
      <c r="I196" s="1"/>
      <c r="J196" s="1"/>
      <c r="K196" s="1"/>
    </row>
    <row r="197" spans="1:11" x14ac:dyDescent="0.25">
      <c r="A197" s="38"/>
      <c r="B197" s="49"/>
      <c r="C197" s="49"/>
      <c r="D197" s="49"/>
      <c r="E197" s="49"/>
      <c r="F197" s="49"/>
      <c r="G197" s="93" t="s">
        <v>59</v>
      </c>
      <c r="H197" s="70">
        <f>+H195/D171</f>
        <v>424750.61226927902</v>
      </c>
      <c r="I197" s="1"/>
      <c r="J197" s="1">
        <v>646091.59779614327</v>
      </c>
      <c r="K197" s="2">
        <f>+J197-H197</f>
        <v>221340.98552686424</v>
      </c>
    </row>
    <row r="198" spans="1:11" x14ac:dyDescent="0.25">
      <c r="A198" s="97"/>
      <c r="B198" s="74"/>
      <c r="C198" s="74"/>
      <c r="D198" s="74"/>
      <c r="E198" s="74"/>
      <c r="F198" s="74"/>
      <c r="G198" s="98"/>
      <c r="H198" s="77"/>
      <c r="I198" s="1"/>
      <c r="J198" s="1"/>
      <c r="K198" s="1"/>
    </row>
    <row r="199" spans="1:11" x14ac:dyDescent="0.25">
      <c r="A199" s="38"/>
      <c r="B199" s="49"/>
      <c r="C199" s="49"/>
      <c r="D199" s="49"/>
      <c r="E199" s="49"/>
      <c r="F199" s="94"/>
      <c r="G199" s="49"/>
      <c r="H199" s="70"/>
      <c r="I199" s="1"/>
      <c r="J199" s="1"/>
      <c r="K199" s="1"/>
    </row>
    <row r="200" spans="1:11" ht="19.5" thickBot="1" x14ac:dyDescent="0.35">
      <c r="A200" s="79" t="s">
        <v>81</v>
      </c>
      <c r="B200" s="49"/>
      <c r="C200" s="49"/>
      <c r="D200" s="49"/>
      <c r="E200" s="49"/>
      <c r="F200" s="49"/>
      <c r="G200" s="49"/>
      <c r="H200" s="70"/>
      <c r="I200" s="1"/>
      <c r="J200" s="1"/>
      <c r="K200" s="1"/>
    </row>
    <row r="201" spans="1:11" ht="19.5" thickBot="1" x14ac:dyDescent="0.35">
      <c r="A201" s="79"/>
      <c r="B201" s="49" t="s">
        <v>82</v>
      </c>
      <c r="C201" s="49"/>
      <c r="D201" s="68">
        <f>+H201/D171</f>
        <v>22554.427752225078</v>
      </c>
      <c r="E201" s="49" t="s">
        <v>59</v>
      </c>
      <c r="F201" s="73">
        <v>70</v>
      </c>
      <c r="G201" s="49" t="s">
        <v>83</v>
      </c>
      <c r="H201" s="99">
        <f>F201*H147</f>
        <v>7949130</v>
      </c>
      <c r="I201" s="1"/>
      <c r="J201" s="1"/>
      <c r="K201" s="1"/>
    </row>
    <row r="202" spans="1:11" ht="12.75" customHeight="1" x14ac:dyDescent="0.3">
      <c r="A202" s="79"/>
      <c r="B202" s="49" t="s">
        <v>84</v>
      </c>
      <c r="C202" s="49"/>
      <c r="D202" s="68">
        <v>300000</v>
      </c>
      <c r="E202" s="49" t="s">
        <v>59</v>
      </c>
      <c r="F202" s="67">
        <f>H157</f>
        <v>0</v>
      </c>
      <c r="G202" s="49" t="s">
        <v>35</v>
      </c>
      <c r="H202" s="70">
        <f>+F202*D202</f>
        <v>0</v>
      </c>
      <c r="I202" s="1"/>
      <c r="J202" s="1"/>
      <c r="K202" s="1"/>
    </row>
    <row r="203" spans="1:11" x14ac:dyDescent="0.25">
      <c r="A203" s="38"/>
      <c r="B203" s="49" t="s">
        <v>57</v>
      </c>
      <c r="C203" s="49"/>
      <c r="D203" s="49"/>
      <c r="E203" s="49"/>
      <c r="F203" s="73">
        <f>280*0.92</f>
        <v>257.60000000000002</v>
      </c>
      <c r="G203" s="49" t="s">
        <v>85</v>
      </c>
      <c r="H203" s="70">
        <f>+F203*E172</f>
        <v>86249632.000000015</v>
      </c>
      <c r="I203" s="1"/>
      <c r="J203" s="1"/>
      <c r="K203" s="1"/>
    </row>
    <row r="204" spans="1:11" x14ac:dyDescent="0.25">
      <c r="A204" s="38"/>
      <c r="B204" s="49" t="s">
        <v>46</v>
      </c>
      <c r="C204" s="49"/>
      <c r="D204" s="49"/>
      <c r="E204" s="49"/>
      <c r="F204" s="73">
        <v>280</v>
      </c>
      <c r="G204" s="49" t="s">
        <v>85</v>
      </c>
      <c r="H204" s="70">
        <f>F204*(E173)</f>
        <v>0</v>
      </c>
      <c r="I204" s="1"/>
      <c r="J204" s="1"/>
      <c r="K204" s="1"/>
    </row>
    <row r="205" spans="1:11" x14ac:dyDescent="0.25">
      <c r="A205" s="38"/>
      <c r="B205" s="49" t="s">
        <v>86</v>
      </c>
      <c r="C205" s="49" t="s">
        <v>87</v>
      </c>
      <c r="D205" s="67">
        <f>+D170</f>
        <v>264.33157894736843</v>
      </c>
      <c r="E205" s="32" t="s">
        <v>88</v>
      </c>
      <c r="F205" s="68">
        <v>35000</v>
      </c>
      <c r="G205" s="49" t="s">
        <v>89</v>
      </c>
      <c r="H205" s="70">
        <f>+F205*D170</f>
        <v>9251605.2631578948</v>
      </c>
      <c r="I205" s="1"/>
      <c r="J205" s="1"/>
      <c r="K205" s="1"/>
    </row>
    <row r="206" spans="1:11" x14ac:dyDescent="0.25">
      <c r="A206" s="38"/>
      <c r="B206" s="74" t="s">
        <v>90</v>
      </c>
      <c r="C206" s="74"/>
      <c r="D206" s="74"/>
      <c r="E206" s="74"/>
      <c r="F206" s="87">
        <v>0.2</v>
      </c>
      <c r="G206" s="74" t="s">
        <v>91</v>
      </c>
      <c r="H206" s="77">
        <f>ROUND((H203+H204)*F206,-5)</f>
        <v>17200000</v>
      </c>
      <c r="I206" s="1"/>
      <c r="J206" s="1"/>
      <c r="K206" s="1"/>
    </row>
    <row r="207" spans="1:11" x14ac:dyDescent="0.25">
      <c r="A207" s="38"/>
      <c r="B207" s="49"/>
      <c r="C207" s="49"/>
      <c r="D207" s="49"/>
      <c r="E207" s="49"/>
      <c r="F207" s="49"/>
      <c r="G207" s="93" t="s">
        <v>78</v>
      </c>
      <c r="H207" s="70">
        <f>ROUND(SUM(H201:H206),-5)</f>
        <v>120700000</v>
      </c>
      <c r="I207" s="1"/>
      <c r="J207" s="1"/>
      <c r="K207" s="1"/>
    </row>
    <row r="208" spans="1:11" x14ac:dyDescent="0.25">
      <c r="A208" s="38"/>
      <c r="B208" s="49"/>
      <c r="C208" s="49"/>
      <c r="D208" s="49"/>
      <c r="E208" s="49"/>
      <c r="F208" s="49"/>
      <c r="G208" s="93" t="s">
        <v>80</v>
      </c>
      <c r="H208" s="70">
        <f>+H207/(E172+E173)</f>
        <v>360.49220476674031</v>
      </c>
      <c r="I208" s="1"/>
      <c r="J208" s="1"/>
      <c r="K208" s="1"/>
    </row>
    <row r="209" spans="1:11" x14ac:dyDescent="0.25">
      <c r="A209" s="38"/>
      <c r="B209" s="49"/>
      <c r="C209" s="49"/>
      <c r="D209" s="49"/>
      <c r="E209" s="49"/>
      <c r="F209" s="49"/>
      <c r="G209" s="93" t="s">
        <v>59</v>
      </c>
      <c r="H209" s="70">
        <f>+H207/H150</f>
        <v>342467.59452840331</v>
      </c>
      <c r="I209" s="1"/>
      <c r="J209" s="1">
        <v>486340.6795224977</v>
      </c>
    </row>
    <row r="210" spans="1:11" x14ac:dyDescent="0.25">
      <c r="A210" s="38"/>
      <c r="B210" s="49"/>
      <c r="C210" s="49"/>
      <c r="D210" s="49"/>
      <c r="E210" s="49"/>
      <c r="F210" s="49"/>
      <c r="G210" s="49"/>
      <c r="H210" s="70"/>
      <c r="I210" s="1"/>
      <c r="J210" s="1"/>
    </row>
    <row r="211" spans="1:11" ht="18.75" x14ac:dyDescent="0.3">
      <c r="A211" s="100" t="s">
        <v>92</v>
      </c>
      <c r="B211" s="49"/>
      <c r="C211" s="49"/>
      <c r="D211" s="49"/>
      <c r="E211" s="93" t="s">
        <v>93</v>
      </c>
      <c r="F211" s="80">
        <f>+H191/H207</f>
        <v>6.2027808229845639E-2</v>
      </c>
      <c r="G211" s="93" t="s">
        <v>94</v>
      </c>
      <c r="H211" s="70">
        <f>+H195-H207</f>
        <v>29000000</v>
      </c>
      <c r="I211" s="1"/>
      <c r="J211" s="1"/>
    </row>
    <row r="212" spans="1:11" ht="15.75" thickBot="1" x14ac:dyDescent="0.3">
      <c r="A212" s="101"/>
      <c r="B212" s="102"/>
      <c r="C212" s="102"/>
      <c r="D212" s="103"/>
      <c r="E212" s="103"/>
      <c r="F212" s="103"/>
      <c r="G212" s="102"/>
      <c r="H212" s="104"/>
      <c r="I212" s="1"/>
      <c r="J212" s="1"/>
    </row>
    <row r="213" spans="1:11" ht="15.75" thickBo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</row>
    <row r="214" spans="1:11" ht="18.75" x14ac:dyDescent="0.3">
      <c r="A214" s="3" t="s">
        <v>7</v>
      </c>
      <c r="B214" s="4"/>
      <c r="C214" s="5" t="s">
        <v>8</v>
      </c>
      <c r="D214" s="6" t="s">
        <v>9</v>
      </c>
      <c r="E214" s="7"/>
      <c r="F214" s="7"/>
      <c r="G214" s="8" t="s">
        <v>10</v>
      </c>
      <c r="H214" s="25" t="s">
        <v>11</v>
      </c>
      <c r="I214" s="1"/>
      <c r="J214" s="1"/>
    </row>
    <row r="215" spans="1:11" ht="18.75" x14ac:dyDescent="0.3">
      <c r="A215" s="26" t="s">
        <v>12</v>
      </c>
      <c r="B215" s="27"/>
      <c r="C215" s="11"/>
      <c r="D215" s="28" t="s">
        <v>1</v>
      </c>
      <c r="E215" s="12" t="s">
        <v>13</v>
      </c>
      <c r="F215" s="29">
        <v>1</v>
      </c>
      <c r="G215" s="30" t="s">
        <v>14</v>
      </c>
      <c r="H215" s="31">
        <v>175282.15384615384</v>
      </c>
      <c r="I215" s="1"/>
      <c r="J215" s="1"/>
    </row>
    <row r="216" spans="1:11" ht="18.75" x14ac:dyDescent="0.3">
      <c r="A216" s="26" t="s">
        <v>103</v>
      </c>
      <c r="B216" s="27"/>
      <c r="C216" s="32"/>
      <c r="D216" s="11" t="s">
        <v>16</v>
      </c>
      <c r="E216" s="12"/>
      <c r="F216" s="33"/>
      <c r="G216" s="14" t="s">
        <v>4</v>
      </c>
      <c r="H216" s="15">
        <f>H217/H215</f>
        <v>3.8122534743982013</v>
      </c>
      <c r="I216" s="148" t="s">
        <v>138</v>
      </c>
      <c r="J216" s="146"/>
      <c r="K216" s="144" t="s">
        <v>139</v>
      </c>
    </row>
    <row r="217" spans="1:11" ht="19.5" thickBot="1" x14ac:dyDescent="0.35">
      <c r="A217" s="34" t="s">
        <v>17</v>
      </c>
      <c r="B217" s="35"/>
      <c r="C217" s="36"/>
      <c r="D217" s="11" t="s">
        <v>18</v>
      </c>
      <c r="E217" s="17"/>
      <c r="F217" s="17"/>
      <c r="G217" s="37" t="s">
        <v>19</v>
      </c>
      <c r="H217" s="31">
        <v>668220</v>
      </c>
      <c r="I217" s="145">
        <f>H215*2</f>
        <v>350564.30769230769</v>
      </c>
      <c r="J217" s="146" t="s">
        <v>137</v>
      </c>
      <c r="K217" s="144">
        <f>I217/G218</f>
        <v>369.01506072874491</v>
      </c>
    </row>
    <row r="218" spans="1:11" ht="18.75" x14ac:dyDescent="0.3">
      <c r="A218" s="38"/>
      <c r="B218" s="32"/>
      <c r="C218" s="36"/>
      <c r="D218" s="11" t="s">
        <v>5</v>
      </c>
      <c r="E218" s="17"/>
      <c r="F218" s="17"/>
      <c r="G218" s="18">
        <f>G150</f>
        <v>950</v>
      </c>
      <c r="H218" s="39">
        <f>H217/G218</f>
        <v>703.38947368421054</v>
      </c>
      <c r="I218" s="145">
        <f>H217-I217</f>
        <v>317655.69230769231</v>
      </c>
      <c r="J218" s="147" t="s">
        <v>140</v>
      </c>
      <c r="K218" s="144">
        <f>I218/G218</f>
        <v>334.37441295546557</v>
      </c>
    </row>
    <row r="219" spans="1:11" ht="18.75" x14ac:dyDescent="0.3">
      <c r="A219" s="38"/>
      <c r="B219" s="32"/>
      <c r="C219" s="1"/>
      <c r="D219" s="11" t="s">
        <v>20</v>
      </c>
      <c r="E219" s="17"/>
      <c r="F219" s="17"/>
      <c r="G219" s="41"/>
      <c r="H219" s="42">
        <v>0.75</v>
      </c>
      <c r="I219" s="143"/>
      <c r="J219" s="143"/>
      <c r="K219" s="144">
        <f>SUM(K217:K218)</f>
        <v>703.38947368421054</v>
      </c>
    </row>
    <row r="220" spans="1:11" ht="18.75" x14ac:dyDescent="0.3">
      <c r="A220" s="38"/>
      <c r="B220" s="32"/>
      <c r="C220" s="21" t="s">
        <v>21</v>
      </c>
      <c r="D220" s="21" t="s">
        <v>101</v>
      </c>
      <c r="E220" s="22"/>
      <c r="F220" s="22"/>
      <c r="G220" s="21"/>
      <c r="H220" s="141">
        <v>48</v>
      </c>
      <c r="I220" s="44"/>
      <c r="J220" s="1"/>
    </row>
    <row r="221" spans="1:11" ht="18.75" x14ac:dyDescent="0.3">
      <c r="A221" s="38"/>
      <c r="B221" s="32"/>
      <c r="C221" s="45"/>
      <c r="D221" s="21" t="s">
        <v>102</v>
      </c>
      <c r="E221" s="22"/>
      <c r="F221" s="22"/>
      <c r="G221" s="21"/>
      <c r="H221" s="141">
        <f>K218*0.27</f>
        <v>90.281091497975709</v>
      </c>
      <c r="I221" s="1">
        <f>H218*0.2</f>
        <v>140.67789473684212</v>
      </c>
      <c r="J221" s="1"/>
    </row>
    <row r="222" spans="1:11" ht="18.75" x14ac:dyDescent="0.3">
      <c r="A222" s="38"/>
      <c r="B222" s="32"/>
      <c r="C222" s="45"/>
      <c r="D222" s="21" t="s">
        <v>23</v>
      </c>
      <c r="E222" s="22"/>
      <c r="F222" s="22"/>
      <c r="G222" s="21"/>
      <c r="H222" s="23">
        <f>SUM(H220:H221)</f>
        <v>138.28109149797569</v>
      </c>
      <c r="I222" s="1"/>
      <c r="J222" s="1"/>
    </row>
    <row r="223" spans="1:11" ht="18.75" x14ac:dyDescent="0.3">
      <c r="A223" s="38"/>
      <c r="B223" s="32"/>
      <c r="C223" s="1"/>
      <c r="D223" s="21" t="s">
        <v>24</v>
      </c>
      <c r="E223" s="22"/>
      <c r="F223" s="22"/>
      <c r="G223" s="21"/>
      <c r="H223" s="46">
        <f>(H222+H225)/H218</f>
        <v>0.1965924948715646</v>
      </c>
      <c r="I223" s="1"/>
      <c r="J223" s="1"/>
    </row>
    <row r="224" spans="1:11" ht="18.75" x14ac:dyDescent="0.3">
      <c r="A224" s="38"/>
      <c r="B224" s="32"/>
      <c r="C224" s="45"/>
      <c r="D224" s="21" t="s">
        <v>17</v>
      </c>
      <c r="E224" s="22"/>
      <c r="F224" s="22"/>
      <c r="G224" s="21"/>
      <c r="H224" s="47">
        <f>H222/H218</f>
        <v>0.1965924948715646</v>
      </c>
      <c r="I224" s="1"/>
      <c r="J224" s="1"/>
    </row>
    <row r="225" spans="1:9" ht="18.75" x14ac:dyDescent="0.3">
      <c r="A225" s="38"/>
      <c r="B225" s="32"/>
      <c r="C225" s="36"/>
      <c r="D225" s="21" t="s">
        <v>98</v>
      </c>
      <c r="E225" s="22"/>
      <c r="F225" s="22"/>
      <c r="G225" s="21"/>
      <c r="H225" s="23">
        <v>0</v>
      </c>
      <c r="I225" s="110"/>
    </row>
    <row r="226" spans="1:9" ht="18.75" x14ac:dyDescent="0.3">
      <c r="A226" s="38"/>
      <c r="B226" s="32"/>
      <c r="C226" s="36"/>
      <c r="D226" s="21" t="s">
        <v>27</v>
      </c>
      <c r="E226" s="22"/>
      <c r="F226" s="22"/>
      <c r="G226" s="21"/>
      <c r="H226" s="48">
        <v>300000</v>
      </c>
      <c r="I226" s="1"/>
    </row>
    <row r="227" spans="1:9" ht="19.5" thickBot="1" x14ac:dyDescent="0.35">
      <c r="A227" s="38"/>
      <c r="B227" s="32"/>
      <c r="C227" s="49"/>
      <c r="D227" s="45"/>
      <c r="E227" s="45"/>
      <c r="F227" s="49"/>
      <c r="G227" s="45"/>
      <c r="H227" s="50"/>
      <c r="I227" s="1"/>
    </row>
    <row r="228" spans="1:9" ht="19.5" thickBot="1" x14ac:dyDescent="0.35">
      <c r="A228" s="38"/>
      <c r="B228" s="32"/>
      <c r="C228" s="51" t="s">
        <v>28</v>
      </c>
      <c r="D228" s="51" t="s">
        <v>29</v>
      </c>
      <c r="E228" s="52"/>
      <c r="F228" s="53">
        <v>6.0999999999999999E-2</v>
      </c>
      <c r="G228" s="54" t="s">
        <v>30</v>
      </c>
      <c r="H228" s="55">
        <f>+F279</f>
        <v>6.1400133426708969E-2</v>
      </c>
      <c r="I228" s="1"/>
    </row>
    <row r="229" spans="1:9" ht="18.75" x14ac:dyDescent="0.3">
      <c r="A229" s="38"/>
      <c r="B229" s="32"/>
      <c r="C229" s="36"/>
      <c r="D229" s="51" t="s">
        <v>31</v>
      </c>
      <c r="E229" s="52"/>
      <c r="F229" s="56">
        <f>F161</f>
        <v>3.65</v>
      </c>
      <c r="G229" s="51" t="s">
        <v>32</v>
      </c>
      <c r="H229" s="57"/>
      <c r="I229" s="1"/>
    </row>
    <row r="230" spans="1:9" ht="19.5" thickBot="1" x14ac:dyDescent="0.35">
      <c r="A230" s="38"/>
      <c r="B230" s="32"/>
      <c r="C230" s="32"/>
      <c r="D230" s="36"/>
      <c r="E230" s="45"/>
      <c r="F230" s="49"/>
      <c r="G230" s="45"/>
      <c r="H230" s="58"/>
      <c r="I230" s="1"/>
    </row>
    <row r="231" spans="1:9" ht="18.75" x14ac:dyDescent="0.3">
      <c r="A231" s="59" t="s">
        <v>33</v>
      </c>
      <c r="B231" s="60"/>
      <c r="C231" s="60"/>
      <c r="D231" s="60"/>
      <c r="E231" s="60"/>
      <c r="F231" s="60"/>
      <c r="G231" s="60"/>
      <c r="H231" s="61"/>
      <c r="I231" s="1"/>
    </row>
    <row r="232" spans="1:9" ht="30" x14ac:dyDescent="0.25">
      <c r="A232" s="62" t="s">
        <v>34</v>
      </c>
      <c r="B232" s="63"/>
      <c r="C232" s="63"/>
      <c r="D232" s="64" t="s">
        <v>35</v>
      </c>
      <c r="E232" s="64" t="s">
        <v>36</v>
      </c>
      <c r="F232" s="64" t="s">
        <v>37</v>
      </c>
      <c r="G232" s="64" t="s">
        <v>38</v>
      </c>
      <c r="H232" s="65" t="s">
        <v>39</v>
      </c>
      <c r="I232" s="1"/>
    </row>
    <row r="233" spans="1:9" x14ac:dyDescent="0.25">
      <c r="A233" s="38"/>
      <c r="B233" s="49" t="s">
        <v>40</v>
      </c>
      <c r="C233" s="49" t="s">
        <v>41</v>
      </c>
      <c r="D233" s="66">
        <f>ROUND(H218-D234-D235,0)</f>
        <v>565</v>
      </c>
      <c r="E233" s="67">
        <v>810</v>
      </c>
      <c r="F233" s="68">
        <f>+G233*E233</f>
        <v>2956.5</v>
      </c>
      <c r="G233" s="69">
        <f>F229</f>
        <v>3.65</v>
      </c>
      <c r="H233" s="70">
        <f>+D233*F233*12</f>
        <v>20045070</v>
      </c>
      <c r="I233" s="1"/>
    </row>
    <row r="234" spans="1:9" x14ac:dyDescent="0.25">
      <c r="A234" s="38"/>
      <c r="B234" s="71" t="s">
        <v>42</v>
      </c>
      <c r="C234" s="49" t="s">
        <v>43</v>
      </c>
      <c r="D234" s="66">
        <f>H220</f>
        <v>48</v>
      </c>
      <c r="E234" s="67">
        <v>810</v>
      </c>
      <c r="F234" s="68">
        <v>1098.26</v>
      </c>
      <c r="G234" s="72">
        <f>IF(H234=0,0,+H234/(E234*D234)/12)</f>
        <v>1.3558765432098765</v>
      </c>
      <c r="H234" s="70">
        <f>+F234*D234*12</f>
        <v>632597.76000000001</v>
      </c>
      <c r="I234" s="1"/>
    </row>
    <row r="235" spans="1:9" x14ac:dyDescent="0.25">
      <c r="A235" s="38"/>
      <c r="B235" s="71" t="s">
        <v>44</v>
      </c>
      <c r="C235" s="49" t="s">
        <v>45</v>
      </c>
      <c r="D235" s="66">
        <f>H221</f>
        <v>90.281091497975709</v>
      </c>
      <c r="E235" s="67">
        <v>810</v>
      </c>
      <c r="F235" s="68">
        <v>784.93925925925919</v>
      </c>
      <c r="G235" s="73">
        <f>IF(H235=0,0,+H235/(E235*D235)/12)</f>
        <v>0.96906081390031995</v>
      </c>
      <c r="H235" s="70">
        <f>+F235*D235*12</f>
        <v>850382.07702646148</v>
      </c>
      <c r="I235" s="1"/>
    </row>
    <row r="236" spans="1:9" x14ac:dyDescent="0.25">
      <c r="A236" s="38"/>
      <c r="B236" s="49" t="s">
        <v>46</v>
      </c>
      <c r="C236" s="49" t="s">
        <v>47</v>
      </c>
      <c r="D236" s="67">
        <v>0</v>
      </c>
      <c r="E236" s="67">
        <v>0</v>
      </c>
      <c r="F236" s="73">
        <v>0</v>
      </c>
      <c r="G236" s="73">
        <v>0</v>
      </c>
      <c r="H236" s="70">
        <f>+G236*E236*D236</f>
        <v>0</v>
      </c>
      <c r="I236" s="1"/>
    </row>
    <row r="237" spans="1:9" x14ac:dyDescent="0.25">
      <c r="A237" s="38"/>
      <c r="B237" s="49"/>
      <c r="C237" s="49" t="s">
        <v>48</v>
      </c>
      <c r="D237" s="67">
        <v>0</v>
      </c>
      <c r="E237" s="67">
        <v>5000</v>
      </c>
      <c r="F237" s="73">
        <f>+G237/12</f>
        <v>0</v>
      </c>
      <c r="G237" s="73">
        <v>0</v>
      </c>
      <c r="H237" s="70">
        <f>+G237*E237*D237</f>
        <v>0</v>
      </c>
      <c r="I237" s="1"/>
    </row>
    <row r="238" spans="1:9" x14ac:dyDescent="0.25">
      <c r="A238" s="38"/>
      <c r="B238" s="74" t="s">
        <v>49</v>
      </c>
      <c r="C238" s="74"/>
      <c r="D238" s="75">
        <f>+H218*H219</f>
        <v>527.54210526315796</v>
      </c>
      <c r="E238" s="76"/>
      <c r="F238" s="76"/>
      <c r="G238" s="76">
        <v>250</v>
      </c>
      <c r="H238" s="77">
        <f>+D238*G238*12</f>
        <v>1582626.3157894739</v>
      </c>
      <c r="I238" s="1"/>
    </row>
    <row r="239" spans="1:9" x14ac:dyDescent="0.25">
      <c r="A239" s="38"/>
      <c r="B239" s="49" t="s">
        <v>50</v>
      </c>
      <c r="C239" s="49"/>
      <c r="D239" s="66">
        <f>+H218</f>
        <v>703.38947368421054</v>
      </c>
      <c r="E239" s="67">
        <f>(E233*D233)+(E234*D234)</f>
        <v>496530</v>
      </c>
      <c r="F239" s="73"/>
      <c r="G239" s="68"/>
      <c r="H239" s="70">
        <f>SUM(H233:H238)</f>
        <v>23110676.152815934</v>
      </c>
      <c r="I239" s="1"/>
    </row>
    <row r="240" spans="1:9" x14ac:dyDescent="0.25">
      <c r="A240" s="38"/>
      <c r="B240" s="49" t="s">
        <v>51</v>
      </c>
      <c r="C240" s="49"/>
      <c r="D240" s="78">
        <v>0.85</v>
      </c>
      <c r="E240" s="67">
        <f>+H217</f>
        <v>668220</v>
      </c>
      <c r="F240" s="68"/>
      <c r="G240" s="68"/>
      <c r="H240" s="70"/>
      <c r="I240" s="1"/>
    </row>
    <row r="241" spans="1:8" x14ac:dyDescent="0.25">
      <c r="A241" s="38"/>
      <c r="B241" s="49" t="s">
        <v>52</v>
      </c>
      <c r="C241" s="49"/>
      <c r="D241" s="78">
        <v>1</v>
      </c>
      <c r="E241" s="67">
        <f>(E236*D236)+(D237*E237)</f>
        <v>0</v>
      </c>
      <c r="F241" s="68"/>
      <c r="G241" s="68"/>
      <c r="H241" s="70"/>
    </row>
    <row r="242" spans="1:8" x14ac:dyDescent="0.25">
      <c r="A242" s="38"/>
      <c r="B242" s="49"/>
      <c r="C242" s="49"/>
      <c r="D242" s="67"/>
      <c r="E242" s="68"/>
      <c r="F242" s="68"/>
      <c r="G242" s="68"/>
      <c r="H242" s="70"/>
    </row>
    <row r="243" spans="1:8" ht="18.75" x14ac:dyDescent="0.3">
      <c r="A243" s="79" t="s">
        <v>53</v>
      </c>
      <c r="B243" s="49"/>
      <c r="C243" s="49" t="str">
        <f>+C233</f>
        <v>Market Rate</v>
      </c>
      <c r="D243" s="67"/>
      <c r="E243" s="68"/>
      <c r="F243" s="68"/>
      <c r="G243" s="80">
        <v>0.05</v>
      </c>
      <c r="H243" s="70">
        <f>-G243*H233</f>
        <v>-1002253.5</v>
      </c>
    </row>
    <row r="244" spans="1:8" ht="12.75" customHeight="1" x14ac:dyDescent="0.3">
      <c r="A244" s="79"/>
      <c r="B244" s="49"/>
      <c r="C244" s="49" t="str">
        <f>+C234</f>
        <v>Low Income</v>
      </c>
      <c r="D244" s="67"/>
      <c r="E244" s="68"/>
      <c r="F244" s="68"/>
      <c r="G244" s="80">
        <v>0</v>
      </c>
      <c r="H244" s="70">
        <f>-G244*H234</f>
        <v>0</v>
      </c>
    </row>
    <row r="245" spans="1:8" ht="12.75" customHeight="1" x14ac:dyDescent="0.3">
      <c r="A245" s="79"/>
      <c r="B245" s="49"/>
      <c r="C245" s="49" t="str">
        <f>+C236</f>
        <v>Market Rate Retail</v>
      </c>
      <c r="D245" s="67"/>
      <c r="E245" s="68"/>
      <c r="F245" s="68"/>
      <c r="G245" s="80">
        <v>0.1</v>
      </c>
      <c r="H245" s="70">
        <f>-G245*H236</f>
        <v>0</v>
      </c>
    </row>
    <row r="246" spans="1:8" x14ac:dyDescent="0.25">
      <c r="A246" s="38"/>
      <c r="B246" s="74"/>
      <c r="C246" s="74" t="str">
        <f>+C237</f>
        <v>Affordable Innovation</v>
      </c>
      <c r="D246" s="75"/>
      <c r="E246" s="76"/>
      <c r="F246" s="76"/>
      <c r="G246" s="81">
        <v>0.2</v>
      </c>
      <c r="H246" s="77">
        <f>-G246*H237</f>
        <v>0</v>
      </c>
    </row>
    <row r="247" spans="1:8" x14ac:dyDescent="0.25">
      <c r="A247" s="38"/>
      <c r="B247" s="49" t="s">
        <v>54</v>
      </c>
      <c r="C247" s="49"/>
      <c r="D247" s="67"/>
      <c r="E247" s="68"/>
      <c r="F247" s="68"/>
      <c r="G247" s="80"/>
      <c r="H247" s="70">
        <f>SUM(H243:H246)</f>
        <v>-1002253.5</v>
      </c>
    </row>
    <row r="248" spans="1:8" s="83" customFormat="1" ht="18.75" x14ac:dyDescent="0.3">
      <c r="A248" s="82"/>
      <c r="C248" s="45"/>
      <c r="D248" s="49"/>
      <c r="E248" s="49"/>
      <c r="F248" s="84"/>
      <c r="G248" s="85"/>
      <c r="H248" s="70"/>
    </row>
    <row r="249" spans="1:8" ht="18.75" x14ac:dyDescent="0.3">
      <c r="A249" s="79" t="s">
        <v>55</v>
      </c>
      <c r="B249" s="49"/>
      <c r="C249" s="49"/>
      <c r="D249" s="67"/>
      <c r="E249" s="68"/>
      <c r="F249" s="68"/>
      <c r="G249" s="68"/>
      <c r="H249" s="70">
        <f>+H239+H247</f>
        <v>22108422.652815934</v>
      </c>
    </row>
    <row r="250" spans="1:8" x14ac:dyDescent="0.25">
      <c r="A250" s="38"/>
      <c r="B250" s="49"/>
      <c r="C250" s="49"/>
      <c r="D250" s="67"/>
      <c r="E250" s="68"/>
      <c r="F250" s="68"/>
      <c r="G250" s="68"/>
      <c r="H250" s="70"/>
    </row>
    <row r="251" spans="1:8" ht="18.75" x14ac:dyDescent="0.3">
      <c r="A251" s="79" t="s">
        <v>56</v>
      </c>
      <c r="B251" s="49"/>
      <c r="C251" s="49"/>
      <c r="D251" s="49"/>
      <c r="E251" s="49"/>
      <c r="F251" s="49"/>
      <c r="G251" s="49"/>
      <c r="H251" s="70"/>
    </row>
    <row r="252" spans="1:8" x14ac:dyDescent="0.25">
      <c r="A252" s="38"/>
      <c r="B252" s="49" t="s">
        <v>57</v>
      </c>
      <c r="C252" s="49" t="s">
        <v>58</v>
      </c>
      <c r="D252" s="49"/>
      <c r="E252" s="49"/>
      <c r="F252" s="68">
        <v>7500</v>
      </c>
      <c r="G252" s="68" t="s">
        <v>59</v>
      </c>
      <c r="H252" s="70">
        <f>-F252*D239</f>
        <v>-5275421.0526315793</v>
      </c>
    </row>
    <row r="253" spans="1:8" x14ac:dyDescent="0.25">
      <c r="A253" s="38"/>
      <c r="B253" s="49"/>
      <c r="C253" s="49" t="s">
        <v>60</v>
      </c>
      <c r="D253" s="78">
        <v>7.0000000000000007E-2</v>
      </c>
      <c r="E253" s="49" t="s">
        <v>61</v>
      </c>
      <c r="F253" s="68">
        <f>ROUND(-H253/D239,-2)</f>
        <v>2200</v>
      </c>
      <c r="G253" s="68" t="s">
        <v>59</v>
      </c>
      <c r="H253" s="70">
        <f>(H233+H234+H238)*-D253</f>
        <v>-1558220.5853052633</v>
      </c>
    </row>
    <row r="254" spans="1:8" x14ac:dyDescent="0.25">
      <c r="A254" s="38"/>
      <c r="B254" s="49"/>
      <c r="C254" s="49" t="s">
        <v>62</v>
      </c>
      <c r="D254" s="80">
        <v>2.5000000000000001E-2</v>
      </c>
      <c r="E254" s="49" t="s">
        <v>63</v>
      </c>
      <c r="F254" s="68">
        <f>-H254/D239</f>
        <v>751.62055174194131</v>
      </c>
      <c r="G254" s="68" t="s">
        <v>59</v>
      </c>
      <c r="H254" s="70">
        <f>-D254*((H233+H234+H238)*(1-G243))</f>
        <v>-528681.98430000001</v>
      </c>
    </row>
    <row r="255" spans="1:8" x14ac:dyDescent="0.25">
      <c r="A255" s="38"/>
      <c r="B255" s="49"/>
      <c r="C255" s="49" t="s">
        <v>64</v>
      </c>
      <c r="D255" s="49"/>
      <c r="E255" s="49"/>
      <c r="F255" s="68">
        <v>250</v>
      </c>
      <c r="G255" s="68" t="s">
        <v>59</v>
      </c>
      <c r="H255" s="70">
        <f>-F255*D239</f>
        <v>-175847.36842105264</v>
      </c>
    </row>
    <row r="256" spans="1:8" x14ac:dyDescent="0.25">
      <c r="A256" s="38"/>
      <c r="B256" s="74" t="s">
        <v>46</v>
      </c>
      <c r="C256" s="86" t="s">
        <v>65</v>
      </c>
      <c r="D256" s="74"/>
      <c r="E256" s="74"/>
      <c r="F256" s="87">
        <v>0.02</v>
      </c>
      <c r="G256" s="74" t="s">
        <v>66</v>
      </c>
      <c r="H256" s="77">
        <f>-F256*(H236+H237)</f>
        <v>0</v>
      </c>
    </row>
    <row r="257" spans="1:11" x14ac:dyDescent="0.25">
      <c r="A257" s="38"/>
      <c r="B257" s="49" t="s">
        <v>67</v>
      </c>
      <c r="C257" s="49"/>
      <c r="D257" s="78">
        <f>-H257/H249</f>
        <v>0.34096376340524515</v>
      </c>
      <c r="E257" s="68" t="s">
        <v>68</v>
      </c>
      <c r="F257" s="68">
        <f>-H257/D239</f>
        <v>10716.923230560295</v>
      </c>
      <c r="G257" s="68" t="s">
        <v>59</v>
      </c>
      <c r="H257" s="70">
        <f>SUM(H252:H256)</f>
        <v>-7538170.9906578949</v>
      </c>
      <c r="I257" s="1"/>
      <c r="J257" s="1"/>
      <c r="K257" s="1"/>
    </row>
    <row r="258" spans="1:11" ht="15.75" thickBot="1" x14ac:dyDescent="0.3">
      <c r="A258" s="38"/>
      <c r="B258" s="49"/>
      <c r="C258" s="49"/>
      <c r="D258" s="49"/>
      <c r="E258" s="32"/>
      <c r="F258" s="49"/>
      <c r="G258" s="49"/>
      <c r="H258" s="70"/>
      <c r="I258" s="1"/>
      <c r="J258" s="1"/>
      <c r="K258" s="1"/>
    </row>
    <row r="259" spans="1:11" ht="18.75" x14ac:dyDescent="0.3">
      <c r="A259" s="79" t="s">
        <v>69</v>
      </c>
      <c r="B259" s="49"/>
      <c r="C259" s="49"/>
      <c r="D259" s="78">
        <f>+H259/H249</f>
        <v>0.65903623659475474</v>
      </c>
      <c r="E259" s="68" t="s">
        <v>68</v>
      </c>
      <c r="F259" s="68">
        <f>+H259/D239</f>
        <v>20714.344196597132</v>
      </c>
      <c r="G259" s="68" t="s">
        <v>59</v>
      </c>
      <c r="H259" s="70">
        <f>+H249+H257</f>
        <v>14570251.662158038</v>
      </c>
      <c r="I259" s="1"/>
      <c r="J259" s="88">
        <f>+H259/1.25</f>
        <v>11656201.329726432</v>
      </c>
      <c r="K259" s="89" t="s">
        <v>70</v>
      </c>
    </row>
    <row r="260" spans="1:11" x14ac:dyDescent="0.25">
      <c r="A260" s="38"/>
      <c r="B260" s="49"/>
      <c r="C260" s="49"/>
      <c r="D260" s="49"/>
      <c r="E260" s="49"/>
      <c r="F260" s="49"/>
      <c r="G260" s="49"/>
      <c r="H260" s="70"/>
      <c r="I260" s="1"/>
      <c r="J260" s="90">
        <f>-J259/(PMT(0.04/12,30*12,1)*12)</f>
        <v>203460199.12569231</v>
      </c>
      <c r="K260" s="91" t="s">
        <v>71</v>
      </c>
    </row>
    <row r="261" spans="1:11" ht="18.75" x14ac:dyDescent="0.3">
      <c r="A261" s="79" t="s">
        <v>72</v>
      </c>
      <c r="B261" s="49"/>
      <c r="C261" s="49"/>
      <c r="D261" s="49"/>
      <c r="E261" s="49"/>
      <c r="F261" s="49"/>
      <c r="G261" s="49"/>
      <c r="H261" s="70"/>
      <c r="I261" s="1"/>
      <c r="J261" s="92">
        <f>+H275-J260</f>
        <v>33839800.874307692</v>
      </c>
      <c r="K261" s="91" t="s">
        <v>73</v>
      </c>
    </row>
    <row r="262" spans="1:11" x14ac:dyDescent="0.25">
      <c r="A262" s="38"/>
      <c r="B262" s="49" t="s">
        <v>74</v>
      </c>
      <c r="C262" s="49"/>
      <c r="D262" s="49"/>
      <c r="E262" s="93" t="s">
        <v>75</v>
      </c>
      <c r="F262" s="94">
        <v>0.05</v>
      </c>
      <c r="G262" s="49" t="s">
        <v>76</v>
      </c>
      <c r="H262" s="70">
        <f>+H259/F262</f>
        <v>291405033.24316072</v>
      </c>
      <c r="I262" s="1"/>
      <c r="J262" s="92">
        <f>+H259-J259</f>
        <v>2914050.3324316069</v>
      </c>
      <c r="K262" s="91" t="s">
        <v>77</v>
      </c>
    </row>
    <row r="263" spans="1:11" ht="15.75" thickBot="1" x14ac:dyDescent="0.3">
      <c r="A263" s="38"/>
      <c r="B263" s="49"/>
      <c r="C263" s="49"/>
      <c r="D263" s="49"/>
      <c r="E263" s="49"/>
      <c r="F263" s="49"/>
      <c r="G263" s="93" t="s">
        <v>78</v>
      </c>
      <c r="H263" s="70">
        <f>ROUND(H262,-5)</f>
        <v>291400000</v>
      </c>
      <c r="I263" s="1"/>
      <c r="J263" s="95">
        <f>+J262/J261</f>
        <v>8.6113105193950809E-2</v>
      </c>
      <c r="K263" s="96" t="s">
        <v>79</v>
      </c>
    </row>
    <row r="264" spans="1:11" x14ac:dyDescent="0.25">
      <c r="A264" s="38"/>
      <c r="B264" s="49"/>
      <c r="C264" s="49"/>
      <c r="D264" s="49"/>
      <c r="E264" s="49"/>
      <c r="F264" s="49"/>
      <c r="G264" s="93" t="s">
        <v>80</v>
      </c>
      <c r="H264" s="70">
        <f>+H263/E240</f>
        <v>436.08392445601748</v>
      </c>
      <c r="I264" s="1"/>
      <c r="J264" s="1"/>
      <c r="K264" s="1"/>
    </row>
    <row r="265" spans="1:11" x14ac:dyDescent="0.25">
      <c r="A265" s="38"/>
      <c r="B265" s="49"/>
      <c r="C265" s="49"/>
      <c r="D265" s="49"/>
      <c r="E265" s="49"/>
      <c r="F265" s="49"/>
      <c r="G265" s="93" t="s">
        <v>59</v>
      </c>
      <c r="H265" s="70">
        <f>+H263/D239</f>
        <v>414279.72823321662</v>
      </c>
      <c r="I265" s="1"/>
      <c r="J265" s="1"/>
      <c r="K265" s="2"/>
    </row>
    <row r="266" spans="1:11" x14ac:dyDescent="0.25">
      <c r="A266" s="97"/>
      <c r="B266" s="74"/>
      <c r="C266" s="74"/>
      <c r="D266" s="74"/>
      <c r="E266" s="74"/>
      <c r="F266" s="74"/>
      <c r="G266" s="98"/>
      <c r="H266" s="77"/>
      <c r="I266" s="1"/>
      <c r="J266" s="1"/>
      <c r="K266" s="1"/>
    </row>
    <row r="267" spans="1:11" x14ac:dyDescent="0.25">
      <c r="A267" s="38"/>
      <c r="B267" s="49"/>
      <c r="C267" s="49"/>
      <c r="D267" s="49"/>
      <c r="E267" s="49"/>
      <c r="F267" s="94"/>
      <c r="G267" s="49"/>
      <c r="H267" s="70"/>
      <c r="I267" s="1"/>
      <c r="J267" s="1"/>
      <c r="K267" s="1"/>
    </row>
    <row r="268" spans="1:11" ht="19.5" thickBot="1" x14ac:dyDescent="0.35">
      <c r="A268" s="79" t="s">
        <v>81</v>
      </c>
      <c r="B268" s="49"/>
      <c r="C268" s="49"/>
      <c r="D268" s="49"/>
      <c r="E268" s="49"/>
      <c r="F268" s="49"/>
      <c r="G268" s="49"/>
      <c r="H268" s="70"/>
      <c r="I268" s="1"/>
      <c r="J268" s="1"/>
      <c r="K268" s="1"/>
    </row>
    <row r="269" spans="1:11" ht="19.5" thickBot="1" x14ac:dyDescent="0.35">
      <c r="A269" s="79"/>
      <c r="B269" s="49" t="s">
        <v>82</v>
      </c>
      <c r="C269" s="49"/>
      <c r="D269" s="68">
        <f>+H269/D239</f>
        <v>17443.750906541605</v>
      </c>
      <c r="E269" s="49" t="s">
        <v>59</v>
      </c>
      <c r="F269" s="73">
        <v>70</v>
      </c>
      <c r="G269" s="49" t="s">
        <v>83</v>
      </c>
      <c r="H269" s="99">
        <f>F269*H215</f>
        <v>12269750.76923077</v>
      </c>
      <c r="I269" s="1"/>
      <c r="J269" s="1"/>
      <c r="K269" s="1"/>
    </row>
    <row r="270" spans="1:11" ht="12.75" customHeight="1" x14ac:dyDescent="0.3">
      <c r="A270" s="79"/>
      <c r="B270" s="49" t="s">
        <v>84</v>
      </c>
      <c r="C270" s="49"/>
      <c r="D270" s="68">
        <v>300000</v>
      </c>
      <c r="E270" s="49" t="s">
        <v>59</v>
      </c>
      <c r="F270" s="67">
        <f>H225</f>
        <v>0</v>
      </c>
      <c r="G270" s="49" t="s">
        <v>35</v>
      </c>
      <c r="H270" s="70">
        <f>+F270*D270</f>
        <v>0</v>
      </c>
      <c r="I270" s="1"/>
      <c r="J270" s="1"/>
      <c r="K270" s="1"/>
    </row>
    <row r="271" spans="1:11" x14ac:dyDescent="0.25">
      <c r="A271" s="38"/>
      <c r="B271" s="49" t="s">
        <v>57</v>
      </c>
      <c r="C271" s="49"/>
      <c r="D271" s="49"/>
      <c r="E271" s="49"/>
      <c r="F271" s="73">
        <f>280*0.92</f>
        <v>257.60000000000002</v>
      </c>
      <c r="G271" s="49" t="s">
        <v>85</v>
      </c>
      <c r="H271" s="70">
        <f>+F271*E240</f>
        <v>172133472.00000003</v>
      </c>
      <c r="I271" s="1"/>
      <c r="J271" s="1"/>
      <c r="K271" s="1"/>
    </row>
    <row r="272" spans="1:11" x14ac:dyDescent="0.25">
      <c r="A272" s="38"/>
      <c r="B272" s="49" t="s">
        <v>46</v>
      </c>
      <c r="C272" s="49"/>
      <c r="D272" s="49"/>
      <c r="E272" s="49"/>
      <c r="F272" s="73">
        <v>280</v>
      </c>
      <c r="G272" s="49" t="s">
        <v>85</v>
      </c>
      <c r="H272" s="70">
        <f>F272*(E241)</f>
        <v>0</v>
      </c>
      <c r="I272" s="1"/>
      <c r="J272" s="1"/>
      <c r="K272" s="1"/>
    </row>
    <row r="273" spans="1:11" x14ac:dyDescent="0.25">
      <c r="A273" s="38"/>
      <c r="B273" s="49" t="s">
        <v>86</v>
      </c>
      <c r="C273" s="49" t="s">
        <v>87</v>
      </c>
      <c r="D273" s="67">
        <f>+D238</f>
        <v>527.54210526315796</v>
      </c>
      <c r="E273" s="32" t="s">
        <v>88</v>
      </c>
      <c r="F273" s="68">
        <v>35000</v>
      </c>
      <c r="G273" s="49" t="s">
        <v>89</v>
      </c>
      <c r="H273" s="70">
        <f>+F273*D238</f>
        <v>18463973.684210528</v>
      </c>
      <c r="I273" s="1"/>
      <c r="J273" s="1"/>
    </row>
    <row r="274" spans="1:11" x14ac:dyDescent="0.25">
      <c r="A274" s="38"/>
      <c r="B274" s="74" t="s">
        <v>90</v>
      </c>
      <c r="C274" s="74"/>
      <c r="D274" s="74"/>
      <c r="E274" s="74"/>
      <c r="F274" s="87">
        <v>0.2</v>
      </c>
      <c r="G274" s="74" t="s">
        <v>91</v>
      </c>
      <c r="H274" s="77">
        <f>ROUND((H271+H272)*F274,-5)</f>
        <v>34400000</v>
      </c>
      <c r="I274" s="1"/>
      <c r="J274" s="1"/>
    </row>
    <row r="275" spans="1:11" x14ac:dyDescent="0.25">
      <c r="A275" s="38"/>
      <c r="B275" s="49"/>
      <c r="C275" s="49"/>
      <c r="D275" s="49"/>
      <c r="E275" s="49"/>
      <c r="F275" s="49"/>
      <c r="G275" s="93" t="s">
        <v>78</v>
      </c>
      <c r="H275" s="70">
        <f>ROUND(SUM(H269:H274),-5)</f>
        <v>237300000</v>
      </c>
      <c r="I275" s="1"/>
      <c r="J275" s="1"/>
    </row>
    <row r="276" spans="1:11" x14ac:dyDescent="0.25">
      <c r="A276" s="38"/>
      <c r="B276" s="49"/>
      <c r="C276" s="49"/>
      <c r="D276" s="49"/>
      <c r="E276" s="49"/>
      <c r="F276" s="49"/>
      <c r="G276" s="93" t="s">
        <v>80</v>
      </c>
      <c r="H276" s="70">
        <f>+H275/(E240+E241)</f>
        <v>355.12256442489002</v>
      </c>
      <c r="I276" s="1"/>
      <c r="J276" s="1"/>
    </row>
    <row r="277" spans="1:11" x14ac:dyDescent="0.25">
      <c r="A277" s="38"/>
      <c r="B277" s="49"/>
      <c r="C277" s="49"/>
      <c r="D277" s="49"/>
      <c r="E277" s="49"/>
      <c r="F277" s="49"/>
      <c r="G277" s="93" t="s">
        <v>59</v>
      </c>
      <c r="H277" s="70">
        <f>+H275/H218</f>
        <v>337366.43620364548</v>
      </c>
      <c r="I277" s="1"/>
      <c r="J277" s="1">
        <v>486340.6795224977</v>
      </c>
    </row>
    <row r="278" spans="1:11" x14ac:dyDescent="0.25">
      <c r="A278" s="38"/>
      <c r="B278" s="49"/>
      <c r="C278" s="49"/>
      <c r="D278" s="49"/>
      <c r="E278" s="49"/>
      <c r="F278" s="49"/>
      <c r="G278" s="49"/>
      <c r="H278" s="70"/>
      <c r="I278" s="1"/>
      <c r="J278" s="1"/>
    </row>
    <row r="279" spans="1:11" ht="18.75" x14ac:dyDescent="0.3">
      <c r="A279" s="100" t="s">
        <v>92</v>
      </c>
      <c r="B279" s="49"/>
      <c r="C279" s="49"/>
      <c r="D279" s="49"/>
      <c r="E279" s="93" t="s">
        <v>93</v>
      </c>
      <c r="F279" s="80">
        <f>+H259/H275</f>
        <v>6.1400133426708969E-2</v>
      </c>
      <c r="G279" s="93" t="s">
        <v>94</v>
      </c>
      <c r="H279" s="70">
        <f>+H263-H275</f>
        <v>54100000</v>
      </c>
      <c r="I279" s="1"/>
      <c r="J279" s="1"/>
    </row>
    <row r="280" spans="1:11" ht="15.75" thickBot="1" x14ac:dyDescent="0.3">
      <c r="A280" s="101"/>
      <c r="B280" s="102"/>
      <c r="C280" s="102"/>
      <c r="D280" s="103"/>
      <c r="E280" s="103"/>
      <c r="F280" s="103"/>
      <c r="G280" s="102"/>
      <c r="H280" s="104"/>
      <c r="I280" s="1"/>
      <c r="J280" s="1"/>
    </row>
    <row r="281" spans="1:11" ht="15.75" thickBo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</row>
    <row r="282" spans="1:11" ht="18.75" x14ac:dyDescent="0.3">
      <c r="A282" s="3" t="s">
        <v>7</v>
      </c>
      <c r="B282" s="4"/>
      <c r="C282" s="5" t="s">
        <v>8</v>
      </c>
      <c r="D282" s="6" t="s">
        <v>9</v>
      </c>
      <c r="E282" s="7"/>
      <c r="F282" s="7"/>
      <c r="G282" s="8" t="s">
        <v>10</v>
      </c>
      <c r="H282" s="25" t="s">
        <v>11</v>
      </c>
      <c r="I282" s="1"/>
      <c r="J282" s="1"/>
    </row>
    <row r="283" spans="1:11" ht="18.75" x14ac:dyDescent="0.3">
      <c r="A283" s="26" t="s">
        <v>12</v>
      </c>
      <c r="B283" s="27"/>
      <c r="C283" s="11"/>
      <c r="D283" s="28" t="s">
        <v>1</v>
      </c>
      <c r="E283" s="12" t="s">
        <v>13</v>
      </c>
      <c r="F283" s="29"/>
      <c r="G283" s="30" t="s">
        <v>14</v>
      </c>
      <c r="H283" s="31">
        <v>50375</v>
      </c>
      <c r="I283" s="1"/>
      <c r="J283" s="1"/>
    </row>
    <row r="284" spans="1:11" ht="18.75" x14ac:dyDescent="0.3">
      <c r="A284" s="26" t="s">
        <v>104</v>
      </c>
      <c r="B284" s="27"/>
      <c r="C284" s="32"/>
      <c r="D284" s="11" t="s">
        <v>16</v>
      </c>
      <c r="E284" s="12"/>
      <c r="F284" s="33"/>
      <c r="G284" s="14" t="s">
        <v>4</v>
      </c>
      <c r="H284" s="111">
        <f>H285/H283</f>
        <v>4.7592059553349877</v>
      </c>
      <c r="I284" s="148" t="s">
        <v>138</v>
      </c>
      <c r="J284" s="146"/>
      <c r="K284" s="144" t="s">
        <v>139</v>
      </c>
    </row>
    <row r="285" spans="1:11" ht="19.5" thickBot="1" x14ac:dyDescent="0.35">
      <c r="A285" s="34" t="s">
        <v>17</v>
      </c>
      <c r="B285" s="35"/>
      <c r="C285" s="36"/>
      <c r="D285" s="11" t="s">
        <v>18</v>
      </c>
      <c r="E285" s="17"/>
      <c r="F285" s="17"/>
      <c r="G285" s="37" t="s">
        <v>19</v>
      </c>
      <c r="H285" s="31">
        <v>239745</v>
      </c>
      <c r="I285" s="145">
        <f>H283*2</f>
        <v>100750</v>
      </c>
      <c r="J285" s="146" t="s">
        <v>137</v>
      </c>
      <c r="K285" s="144">
        <f>I285/G286</f>
        <v>106.05263157894737</v>
      </c>
    </row>
    <row r="286" spans="1:11" ht="18.75" x14ac:dyDescent="0.3">
      <c r="A286" s="38"/>
      <c r="B286" s="32"/>
      <c r="C286" s="36"/>
      <c r="D286" s="11" t="s">
        <v>5</v>
      </c>
      <c r="E286" s="17"/>
      <c r="F286" s="17"/>
      <c r="G286" s="18">
        <f>G218</f>
        <v>950</v>
      </c>
      <c r="H286" s="39">
        <f>H285/G286</f>
        <v>252.36315789473684</v>
      </c>
      <c r="I286" s="145">
        <f>H285-I285</f>
        <v>138995</v>
      </c>
      <c r="J286" s="147" t="s">
        <v>140</v>
      </c>
      <c r="K286" s="144">
        <f>I286/G286</f>
        <v>146.31052631578947</v>
      </c>
    </row>
    <row r="287" spans="1:11" ht="18.75" x14ac:dyDescent="0.3">
      <c r="A287" s="38"/>
      <c r="B287" s="32"/>
      <c r="C287" s="1"/>
      <c r="D287" s="11" t="s">
        <v>20</v>
      </c>
      <c r="E287" s="17"/>
      <c r="F287" s="17"/>
      <c r="G287" s="41"/>
      <c r="H287" s="42">
        <v>0.75</v>
      </c>
      <c r="I287" s="143"/>
      <c r="J287" s="143"/>
      <c r="K287" s="144">
        <f>SUM(K285:K286)</f>
        <v>252.36315789473684</v>
      </c>
    </row>
    <row r="288" spans="1:11" ht="18.75" x14ac:dyDescent="0.3">
      <c r="A288" s="38"/>
      <c r="B288" s="32"/>
      <c r="C288" s="21" t="s">
        <v>21</v>
      </c>
      <c r="D288" s="21" t="s">
        <v>101</v>
      </c>
      <c r="E288" s="22"/>
      <c r="F288" s="22"/>
      <c r="G288" s="21"/>
      <c r="H288" s="23">
        <f>K285*0.13</f>
        <v>13.786842105263158</v>
      </c>
      <c r="I288" s="1"/>
    </row>
    <row r="289" spans="1:10" ht="18.75" x14ac:dyDescent="0.3">
      <c r="A289" s="38"/>
      <c r="B289" s="32"/>
      <c r="C289" s="45"/>
      <c r="D289" s="21" t="s">
        <v>102</v>
      </c>
      <c r="E289" s="22"/>
      <c r="F289" s="22"/>
      <c r="G289" s="21"/>
      <c r="H289" s="141">
        <f>K286*0.27</f>
        <v>39.503842105263161</v>
      </c>
      <c r="I289" s="1"/>
    </row>
    <row r="290" spans="1:10" ht="18.75" x14ac:dyDescent="0.3">
      <c r="A290" s="38"/>
      <c r="B290" s="32"/>
      <c r="C290" s="45"/>
      <c r="D290" s="21" t="s">
        <v>23</v>
      </c>
      <c r="E290" s="22"/>
      <c r="F290" s="22"/>
      <c r="G290" s="21"/>
      <c r="H290" s="141">
        <f>SUM(H288:H289)</f>
        <v>53.290684210526322</v>
      </c>
      <c r="I290" s="1"/>
      <c r="J290" s="140">
        <f>K285*0.13+K286*0.27</f>
        <v>53.290684210526322</v>
      </c>
    </row>
    <row r="291" spans="1:10" ht="18.75" x14ac:dyDescent="0.3">
      <c r="A291" s="38"/>
      <c r="B291" s="32"/>
      <c r="C291" s="1"/>
      <c r="D291" s="21" t="s">
        <v>24</v>
      </c>
      <c r="E291" s="22"/>
      <c r="F291" s="22"/>
      <c r="G291" s="21"/>
      <c r="H291" s="46">
        <f>(H290+H293)/H286</f>
        <v>0.21116665623892053</v>
      </c>
      <c r="I291" s="1"/>
    </row>
    <row r="292" spans="1:10" ht="18.75" x14ac:dyDescent="0.3">
      <c r="A292" s="38"/>
      <c r="B292" s="32"/>
      <c r="C292" s="45"/>
      <c r="D292" s="21" t="s">
        <v>17</v>
      </c>
      <c r="E292" s="22"/>
      <c r="F292" s="22"/>
      <c r="G292" s="21"/>
      <c r="H292" s="47"/>
      <c r="I292" s="1"/>
    </row>
    <row r="293" spans="1:10" ht="18.75" x14ac:dyDescent="0.3">
      <c r="A293" s="38"/>
      <c r="B293" s="32"/>
      <c r="C293" s="36"/>
      <c r="D293" s="21" t="s">
        <v>98</v>
      </c>
      <c r="E293" s="22"/>
      <c r="F293" s="22"/>
      <c r="G293" s="21"/>
      <c r="H293" s="23">
        <v>0</v>
      </c>
      <c r="I293" s="110">
        <f>J290-H290</f>
        <v>0</v>
      </c>
      <c r="J293" s="150"/>
    </row>
    <row r="294" spans="1:10" ht="18.75" x14ac:dyDescent="0.3">
      <c r="A294" s="38"/>
      <c r="B294" s="32"/>
      <c r="C294" s="36"/>
      <c r="D294" s="21" t="s">
        <v>27</v>
      </c>
      <c r="E294" s="22"/>
      <c r="F294" s="22"/>
      <c r="G294" s="21"/>
      <c r="H294" s="48">
        <v>300000</v>
      </c>
      <c r="I294" s="1"/>
    </row>
    <row r="295" spans="1:10" ht="19.5" thickBot="1" x14ac:dyDescent="0.35">
      <c r="A295" s="38"/>
      <c r="B295" s="32"/>
      <c r="C295" s="49"/>
      <c r="D295" s="45"/>
      <c r="E295" s="45"/>
      <c r="F295" s="49"/>
      <c r="G295" s="45"/>
      <c r="H295" s="50"/>
      <c r="I295" s="1"/>
    </row>
    <row r="296" spans="1:10" ht="19.5" thickBot="1" x14ac:dyDescent="0.35">
      <c r="A296" s="38"/>
      <c r="B296" s="32"/>
      <c r="C296" s="51" t="s">
        <v>28</v>
      </c>
      <c r="D296" s="51" t="s">
        <v>29</v>
      </c>
      <c r="E296" s="52"/>
      <c r="F296" s="53">
        <v>6.0999999999999999E-2</v>
      </c>
      <c r="G296" s="54" t="s">
        <v>30</v>
      </c>
      <c r="H296" s="55">
        <f>+F347</f>
        <v>6.0981742068149478E-2</v>
      </c>
      <c r="I296" s="1"/>
    </row>
    <row r="297" spans="1:10" ht="18.75" x14ac:dyDescent="0.3">
      <c r="A297" s="38"/>
      <c r="B297" s="32"/>
      <c r="C297" s="36"/>
      <c r="D297" s="51" t="s">
        <v>31</v>
      </c>
      <c r="E297" s="52"/>
      <c r="F297" s="56">
        <f>F229</f>
        <v>3.65</v>
      </c>
      <c r="G297" s="51" t="s">
        <v>32</v>
      </c>
      <c r="H297" s="57"/>
      <c r="I297" s="1"/>
    </row>
    <row r="298" spans="1:10" ht="19.5" thickBot="1" x14ac:dyDescent="0.35">
      <c r="A298" s="38"/>
      <c r="B298" s="32"/>
      <c r="C298" s="32"/>
      <c r="D298" s="36"/>
      <c r="E298" s="45"/>
      <c r="F298" s="49"/>
      <c r="G298" s="45"/>
      <c r="H298" s="58"/>
      <c r="I298" s="1"/>
    </row>
    <row r="299" spans="1:10" ht="18.75" x14ac:dyDescent="0.3">
      <c r="A299" s="59" t="s">
        <v>33</v>
      </c>
      <c r="B299" s="60"/>
      <c r="C299" s="60"/>
      <c r="D299" s="60"/>
      <c r="E299" s="60"/>
      <c r="F299" s="60"/>
      <c r="G299" s="60"/>
      <c r="H299" s="61"/>
      <c r="I299" s="1"/>
    </row>
    <row r="300" spans="1:10" ht="30" x14ac:dyDescent="0.25">
      <c r="A300" s="62" t="s">
        <v>34</v>
      </c>
      <c r="B300" s="63"/>
      <c r="C300" s="63"/>
      <c r="D300" s="64" t="s">
        <v>35</v>
      </c>
      <c r="E300" s="64" t="s">
        <v>36</v>
      </c>
      <c r="F300" s="64" t="s">
        <v>37</v>
      </c>
      <c r="G300" s="64" t="s">
        <v>38</v>
      </c>
      <c r="H300" s="65" t="s">
        <v>39</v>
      </c>
      <c r="I300" s="1"/>
    </row>
    <row r="301" spans="1:10" x14ac:dyDescent="0.25">
      <c r="A301" s="38"/>
      <c r="B301" s="49" t="s">
        <v>40</v>
      </c>
      <c r="C301" s="49" t="s">
        <v>41</v>
      </c>
      <c r="D301" s="66">
        <f>ROUND(H286-D302-D303,0)</f>
        <v>199</v>
      </c>
      <c r="E301" s="67">
        <v>810</v>
      </c>
      <c r="F301" s="68">
        <f>+G301*E301</f>
        <v>2956.5</v>
      </c>
      <c r="G301" s="69">
        <f>F297</f>
        <v>3.65</v>
      </c>
      <c r="H301" s="70">
        <f>+D301*F301*12</f>
        <v>7060122</v>
      </c>
      <c r="I301" s="1"/>
    </row>
    <row r="302" spans="1:10" x14ac:dyDescent="0.25">
      <c r="A302" s="38"/>
      <c r="B302" s="71" t="s">
        <v>42</v>
      </c>
      <c r="C302" s="49" t="s">
        <v>43</v>
      </c>
      <c r="D302" s="66">
        <f>H288</f>
        <v>13.786842105263158</v>
      </c>
      <c r="E302" s="67">
        <v>810</v>
      </c>
      <c r="F302" s="68">
        <v>1098.26</v>
      </c>
      <c r="G302" s="72">
        <f>IF(H302=0,0,+H302/(E302*D302)/12)</f>
        <v>1.3558765432098765</v>
      </c>
      <c r="H302" s="70">
        <f>+F302*D302*12</f>
        <v>181698.44652631579</v>
      </c>
      <c r="I302" s="1"/>
    </row>
    <row r="303" spans="1:10" x14ac:dyDescent="0.25">
      <c r="A303" s="38"/>
      <c r="B303" s="71" t="s">
        <v>44</v>
      </c>
      <c r="C303" s="49" t="s">
        <v>45</v>
      </c>
      <c r="D303" s="66">
        <f>H289</f>
        <v>39.503842105263161</v>
      </c>
      <c r="E303" s="67">
        <v>810</v>
      </c>
      <c r="F303" s="68">
        <v>784.93925925925919</v>
      </c>
      <c r="G303" s="73">
        <f>IF(H303=0,0,+H303/(E303*D303)/12)</f>
        <v>0.96906081390031995</v>
      </c>
      <c r="H303" s="70">
        <f>+F303*D303*12</f>
        <v>372097.39872</v>
      </c>
      <c r="I303" s="1"/>
    </row>
    <row r="304" spans="1:10" x14ac:dyDescent="0.25">
      <c r="A304" s="38"/>
      <c r="B304" s="49" t="s">
        <v>46</v>
      </c>
      <c r="C304" s="49" t="s">
        <v>47</v>
      </c>
      <c r="D304" s="67">
        <v>0</v>
      </c>
      <c r="E304" s="67">
        <v>0</v>
      </c>
      <c r="F304" s="73">
        <v>0</v>
      </c>
      <c r="G304" s="73">
        <v>0</v>
      </c>
      <c r="H304" s="70">
        <f>+G304*E304*D304</f>
        <v>0</v>
      </c>
      <c r="I304" s="1"/>
    </row>
    <row r="305" spans="1:8" x14ac:dyDescent="0.25">
      <c r="A305" s="38"/>
      <c r="B305" s="49"/>
      <c r="C305" s="49" t="s">
        <v>48</v>
      </c>
      <c r="D305" s="67">
        <v>0</v>
      </c>
      <c r="E305" s="67">
        <v>5000</v>
      </c>
      <c r="F305" s="73">
        <f>+G305/12</f>
        <v>0</v>
      </c>
      <c r="G305" s="73">
        <v>0</v>
      </c>
      <c r="H305" s="70">
        <f>+G305*E305*D305</f>
        <v>0</v>
      </c>
    </row>
    <row r="306" spans="1:8" x14ac:dyDescent="0.25">
      <c r="A306" s="38"/>
      <c r="B306" s="74" t="s">
        <v>49</v>
      </c>
      <c r="C306" s="74"/>
      <c r="D306" s="75">
        <f>+H286*H287</f>
        <v>189.27236842105265</v>
      </c>
      <c r="E306" s="76"/>
      <c r="F306" s="76"/>
      <c r="G306" s="76">
        <v>250</v>
      </c>
      <c r="H306" s="77">
        <f>+D306*G306*12</f>
        <v>567817.10526315798</v>
      </c>
    </row>
    <row r="307" spans="1:8" x14ac:dyDescent="0.25">
      <c r="A307" s="38"/>
      <c r="B307" s="49" t="s">
        <v>50</v>
      </c>
      <c r="C307" s="49"/>
      <c r="D307" s="66">
        <f>+H286</f>
        <v>252.36315789473684</v>
      </c>
      <c r="E307" s="67">
        <f>(E301*D301)+(E302*D302)</f>
        <v>172357.34210526315</v>
      </c>
      <c r="F307" s="73"/>
      <c r="G307" s="68"/>
      <c r="H307" s="70">
        <f>SUM(H301:H306)</f>
        <v>8181734.9505094737</v>
      </c>
    </row>
    <row r="308" spans="1:8" x14ac:dyDescent="0.25">
      <c r="A308" s="38"/>
      <c r="B308" s="49" t="s">
        <v>51</v>
      </c>
      <c r="C308" s="49"/>
      <c r="D308" s="78">
        <v>0.85</v>
      </c>
      <c r="E308" s="67">
        <f>+H285</f>
        <v>239745</v>
      </c>
      <c r="F308" s="68"/>
      <c r="G308" s="68"/>
      <c r="H308" s="70"/>
    </row>
    <row r="309" spans="1:8" x14ac:dyDescent="0.25">
      <c r="A309" s="38"/>
      <c r="B309" s="49" t="s">
        <v>52</v>
      </c>
      <c r="C309" s="49"/>
      <c r="D309" s="78">
        <v>1</v>
      </c>
      <c r="E309" s="67">
        <f>(E304*D304)+(D305*E305)</f>
        <v>0</v>
      </c>
      <c r="F309" s="68"/>
      <c r="G309" s="68"/>
      <c r="H309" s="70"/>
    </row>
    <row r="310" spans="1:8" x14ac:dyDescent="0.25">
      <c r="A310" s="38"/>
      <c r="B310" s="49"/>
      <c r="C310" s="49"/>
      <c r="D310" s="67"/>
      <c r="E310" s="68"/>
      <c r="F310" s="68"/>
      <c r="G310" s="68"/>
      <c r="H310" s="70"/>
    </row>
    <row r="311" spans="1:8" ht="18.75" x14ac:dyDescent="0.3">
      <c r="A311" s="79" t="s">
        <v>53</v>
      </c>
      <c r="B311" s="49"/>
      <c r="C311" s="49" t="str">
        <f>+C301</f>
        <v>Market Rate</v>
      </c>
      <c r="D311" s="67"/>
      <c r="E311" s="68"/>
      <c r="F311" s="68"/>
      <c r="G311" s="80">
        <v>0.05</v>
      </c>
      <c r="H311" s="70">
        <f>-G311*H301</f>
        <v>-353006.10000000003</v>
      </c>
    </row>
    <row r="312" spans="1:8" ht="12.75" customHeight="1" x14ac:dyDescent="0.3">
      <c r="A312" s="79"/>
      <c r="B312" s="49"/>
      <c r="C312" s="49" t="str">
        <f>+C302</f>
        <v>Low Income</v>
      </c>
      <c r="D312" s="67"/>
      <c r="E312" s="68"/>
      <c r="F312" s="68"/>
      <c r="G312" s="80">
        <v>0</v>
      </c>
      <c r="H312" s="70">
        <f>-G312*H302</f>
        <v>0</v>
      </c>
    </row>
    <row r="313" spans="1:8" ht="12.75" customHeight="1" x14ac:dyDescent="0.3">
      <c r="A313" s="79"/>
      <c r="B313" s="49"/>
      <c r="C313" s="49" t="str">
        <f>+C304</f>
        <v>Market Rate Retail</v>
      </c>
      <c r="D313" s="67"/>
      <c r="E313" s="68"/>
      <c r="F313" s="68"/>
      <c r="G313" s="80">
        <v>0.1</v>
      </c>
      <c r="H313" s="70">
        <f>-G313*H304</f>
        <v>0</v>
      </c>
    </row>
    <row r="314" spans="1:8" x14ac:dyDescent="0.25">
      <c r="A314" s="38"/>
      <c r="B314" s="74"/>
      <c r="C314" s="74" t="str">
        <f>+C305</f>
        <v>Affordable Innovation</v>
      </c>
      <c r="D314" s="75"/>
      <c r="E314" s="76"/>
      <c r="F314" s="76"/>
      <c r="G314" s="81">
        <v>0.2</v>
      </c>
      <c r="H314" s="77">
        <f>-G314*H305</f>
        <v>0</v>
      </c>
    </row>
    <row r="315" spans="1:8" x14ac:dyDescent="0.25">
      <c r="A315" s="38"/>
      <c r="B315" s="49" t="s">
        <v>54</v>
      </c>
      <c r="C315" s="49"/>
      <c r="D315" s="67"/>
      <c r="E315" s="68"/>
      <c r="F315" s="68"/>
      <c r="G315" s="80"/>
      <c r="H315" s="70">
        <f>SUM(H311:H314)</f>
        <v>-353006.10000000003</v>
      </c>
    </row>
    <row r="316" spans="1:8" s="83" customFormat="1" ht="18.75" x14ac:dyDescent="0.3">
      <c r="A316" s="82"/>
      <c r="C316" s="45"/>
      <c r="D316" s="49"/>
      <c r="E316" s="49"/>
      <c r="F316" s="84"/>
      <c r="G316" s="85"/>
      <c r="H316" s="70"/>
    </row>
    <row r="317" spans="1:8" ht="18.75" x14ac:dyDescent="0.3">
      <c r="A317" s="79" t="s">
        <v>55</v>
      </c>
      <c r="B317" s="49"/>
      <c r="C317" s="49"/>
      <c r="D317" s="67"/>
      <c r="E317" s="68"/>
      <c r="F317" s="68"/>
      <c r="G317" s="68"/>
      <c r="H317" s="70">
        <f>+H307+H315</f>
        <v>7828728.8505094741</v>
      </c>
    </row>
    <row r="318" spans="1:8" x14ac:dyDescent="0.25">
      <c r="A318" s="38"/>
      <c r="B318" s="49"/>
      <c r="C318" s="49"/>
      <c r="D318" s="67"/>
      <c r="E318" s="68"/>
      <c r="F318" s="68"/>
      <c r="G318" s="68"/>
      <c r="H318" s="70"/>
    </row>
    <row r="319" spans="1:8" ht="18.75" x14ac:dyDescent="0.3">
      <c r="A319" s="79" t="s">
        <v>56</v>
      </c>
      <c r="B319" s="49"/>
      <c r="C319" s="49"/>
      <c r="D319" s="49"/>
      <c r="E319" s="49"/>
      <c r="F319" s="49"/>
      <c r="G319" s="49"/>
      <c r="H319" s="70"/>
    </row>
    <row r="320" spans="1:8" x14ac:dyDescent="0.25">
      <c r="A320" s="38"/>
      <c r="B320" s="49" t="s">
        <v>57</v>
      </c>
      <c r="C320" s="49" t="s">
        <v>58</v>
      </c>
      <c r="D320" s="49"/>
      <c r="E320" s="49"/>
      <c r="F320" s="68">
        <v>7500</v>
      </c>
      <c r="G320" s="68" t="s">
        <v>59</v>
      </c>
      <c r="H320" s="70">
        <f>-F320*D307</f>
        <v>-1892723.6842105263</v>
      </c>
    </row>
    <row r="321" spans="1:11" x14ac:dyDescent="0.25">
      <c r="A321" s="38"/>
      <c r="B321" s="49"/>
      <c r="C321" s="49" t="s">
        <v>60</v>
      </c>
      <c r="D321" s="78">
        <v>7.0000000000000007E-2</v>
      </c>
      <c r="E321" s="49" t="s">
        <v>61</v>
      </c>
      <c r="F321" s="68">
        <f>ROUND(-H321/D307,-2)</f>
        <v>2200</v>
      </c>
      <c r="G321" s="68" t="s">
        <v>59</v>
      </c>
      <c r="H321" s="70">
        <f>(H301+H302+H306)*-D321</f>
        <v>-546674.62862526323</v>
      </c>
      <c r="I321" s="1"/>
      <c r="J321" s="1"/>
      <c r="K321" s="1"/>
    </row>
    <row r="322" spans="1:11" x14ac:dyDescent="0.25">
      <c r="A322" s="38"/>
      <c r="B322" s="49"/>
      <c r="C322" s="49" t="s">
        <v>62</v>
      </c>
      <c r="D322" s="80">
        <v>2.5000000000000001E-2</v>
      </c>
      <c r="E322" s="49" t="s">
        <v>63</v>
      </c>
      <c r="F322" s="68">
        <f>-H322/D307</f>
        <v>734.96818395482694</v>
      </c>
      <c r="G322" s="68" t="s">
        <v>59</v>
      </c>
      <c r="H322" s="70">
        <f>-D322*((H301+H302+H306)*(1-G311))</f>
        <v>-185478.89185499999</v>
      </c>
      <c r="I322" s="1"/>
      <c r="J322" s="1"/>
      <c r="K322" s="1"/>
    </row>
    <row r="323" spans="1:11" x14ac:dyDescent="0.25">
      <c r="A323" s="38"/>
      <c r="B323" s="49"/>
      <c r="C323" s="49" t="s">
        <v>64</v>
      </c>
      <c r="D323" s="49"/>
      <c r="E323" s="49"/>
      <c r="F323" s="68">
        <v>250</v>
      </c>
      <c r="G323" s="68" t="s">
        <v>59</v>
      </c>
      <c r="H323" s="70">
        <f>-F323*D307</f>
        <v>-63090.789473684214</v>
      </c>
      <c r="I323" s="1"/>
      <c r="J323" s="1"/>
      <c r="K323" s="1"/>
    </row>
    <row r="324" spans="1:11" x14ac:dyDescent="0.25">
      <c r="A324" s="38"/>
      <c r="B324" s="74" t="s">
        <v>46</v>
      </c>
      <c r="C324" s="86" t="s">
        <v>65</v>
      </c>
      <c r="D324" s="74"/>
      <c r="E324" s="74"/>
      <c r="F324" s="87">
        <v>0.02</v>
      </c>
      <c r="G324" s="74" t="s">
        <v>66</v>
      </c>
      <c r="H324" s="77">
        <f>-F324*(H304+H305)</f>
        <v>0</v>
      </c>
      <c r="I324" s="1"/>
      <c r="J324" s="1"/>
      <c r="K324" s="1"/>
    </row>
    <row r="325" spans="1:11" x14ac:dyDescent="0.25">
      <c r="A325" s="38"/>
      <c r="B325" s="49" t="s">
        <v>67</v>
      </c>
      <c r="C325" s="49"/>
      <c r="D325" s="78">
        <f>-H325/H317</f>
        <v>0.34334667166171517</v>
      </c>
      <c r="E325" s="68" t="s">
        <v>68</v>
      </c>
      <c r="F325" s="68">
        <f>-H325/D307</f>
        <v>10651.190199821684</v>
      </c>
      <c r="G325" s="68" t="s">
        <v>59</v>
      </c>
      <c r="H325" s="70">
        <f>SUM(H320:H324)</f>
        <v>-2687967.9941644734</v>
      </c>
      <c r="I325" s="1"/>
      <c r="J325" s="1"/>
      <c r="K325" s="1"/>
    </row>
    <row r="326" spans="1:11" ht="15.75" thickBot="1" x14ac:dyDescent="0.3">
      <c r="A326" s="38"/>
      <c r="B326" s="49"/>
      <c r="C326" s="49"/>
      <c r="D326" s="49"/>
      <c r="E326" s="32"/>
      <c r="F326" s="49"/>
      <c r="G326" s="49"/>
      <c r="H326" s="70"/>
      <c r="I326" s="1"/>
      <c r="J326" s="1"/>
      <c r="K326" s="1"/>
    </row>
    <row r="327" spans="1:11" ht="18.75" x14ac:dyDescent="0.3">
      <c r="A327" s="79" t="s">
        <v>69</v>
      </c>
      <c r="B327" s="49"/>
      <c r="C327" s="49"/>
      <c r="D327" s="78">
        <f>+H327/H317</f>
        <v>0.65665332833828483</v>
      </c>
      <c r="E327" s="68" t="s">
        <v>68</v>
      </c>
      <c r="F327" s="68">
        <f>+H327/D307</f>
        <v>20370.488700610025</v>
      </c>
      <c r="G327" s="68" t="s">
        <v>59</v>
      </c>
      <c r="H327" s="70">
        <f>+H317+H325</f>
        <v>5140760.8563450007</v>
      </c>
      <c r="I327" s="1"/>
      <c r="J327" s="88">
        <f>+H327/1.25</f>
        <v>4112608.6850760006</v>
      </c>
      <c r="K327" s="89" t="s">
        <v>70</v>
      </c>
    </row>
    <row r="328" spans="1:11" x14ac:dyDescent="0.25">
      <c r="A328" s="38"/>
      <c r="B328" s="49"/>
      <c r="C328" s="49"/>
      <c r="D328" s="49"/>
      <c r="E328" s="49"/>
      <c r="F328" s="49"/>
      <c r="G328" s="49"/>
      <c r="H328" s="70"/>
      <c r="I328" s="1"/>
      <c r="J328" s="90">
        <f>-J327/(PMT(0.04/12,30*12,1)*12)</f>
        <v>71786009.723225415</v>
      </c>
      <c r="K328" s="91" t="s">
        <v>71</v>
      </c>
    </row>
    <row r="329" spans="1:11" ht="18.75" x14ac:dyDescent="0.3">
      <c r="A329" s="79" t="s">
        <v>72</v>
      </c>
      <c r="B329" s="49"/>
      <c r="C329" s="49"/>
      <c r="D329" s="49"/>
      <c r="E329" s="49"/>
      <c r="F329" s="49"/>
      <c r="G329" s="49"/>
      <c r="H329" s="70"/>
      <c r="I329" s="1"/>
      <c r="J329" s="92">
        <f>+H343-J328</f>
        <v>12513990.276774585</v>
      </c>
      <c r="K329" s="91" t="s">
        <v>73</v>
      </c>
    </row>
    <row r="330" spans="1:11" x14ac:dyDescent="0.25">
      <c r="A330" s="38"/>
      <c r="B330" s="49" t="s">
        <v>74</v>
      </c>
      <c r="C330" s="49"/>
      <c r="D330" s="49"/>
      <c r="E330" s="93" t="s">
        <v>75</v>
      </c>
      <c r="F330" s="94">
        <v>0.05</v>
      </c>
      <c r="G330" s="49" t="s">
        <v>76</v>
      </c>
      <c r="H330" s="70">
        <f>+H327/F330</f>
        <v>102815217.1269</v>
      </c>
      <c r="I330" s="1"/>
      <c r="J330" s="92">
        <f>+H327-J327</f>
        <v>1028152.171269</v>
      </c>
      <c r="K330" s="91" t="s">
        <v>77</v>
      </c>
    </row>
    <row r="331" spans="1:11" ht="15.75" thickBot="1" x14ac:dyDescent="0.3">
      <c r="A331" s="38"/>
      <c r="B331" s="49"/>
      <c r="C331" s="49"/>
      <c r="D331" s="49"/>
      <c r="E331" s="49"/>
      <c r="F331" s="49"/>
      <c r="G331" s="93" t="s">
        <v>78</v>
      </c>
      <c r="H331" s="70">
        <f>ROUND(H330,-5)</f>
        <v>102800000</v>
      </c>
      <c r="I331" s="1"/>
      <c r="J331" s="95">
        <f>+J330/J329</f>
        <v>8.2160218166159607E-2</v>
      </c>
      <c r="K331" s="96" t="s">
        <v>79</v>
      </c>
    </row>
    <row r="332" spans="1:11" x14ac:dyDescent="0.25">
      <c r="A332" s="38"/>
      <c r="B332" s="49"/>
      <c r="C332" s="49"/>
      <c r="D332" s="49"/>
      <c r="E332" s="49"/>
      <c r="F332" s="49"/>
      <c r="G332" s="93" t="s">
        <v>80</v>
      </c>
      <c r="H332" s="70">
        <f>+H331/E308</f>
        <v>428.7889215624935</v>
      </c>
      <c r="I332" s="1"/>
      <c r="J332" s="1"/>
      <c r="K332" s="1"/>
    </row>
    <row r="333" spans="1:11" x14ac:dyDescent="0.25">
      <c r="A333" s="38"/>
      <c r="B333" s="49"/>
      <c r="C333" s="49"/>
      <c r="D333" s="49"/>
      <c r="E333" s="49"/>
      <c r="F333" s="49"/>
      <c r="G333" s="93" t="s">
        <v>59</v>
      </c>
      <c r="H333" s="70">
        <f>+H331/D307</f>
        <v>407349.4754843688</v>
      </c>
      <c r="I333" s="1"/>
      <c r="J333" s="1">
        <v>646091.59779614327</v>
      </c>
      <c r="K333" s="2">
        <f>+J333-H333</f>
        <v>238742.12231177447</v>
      </c>
    </row>
    <row r="334" spans="1:11" x14ac:dyDescent="0.25">
      <c r="A334" s="97"/>
      <c r="B334" s="74"/>
      <c r="C334" s="74"/>
      <c r="D334" s="74"/>
      <c r="E334" s="74"/>
      <c r="F334" s="74"/>
      <c r="G334" s="98"/>
      <c r="H334" s="77"/>
      <c r="I334" s="1"/>
      <c r="J334" s="1"/>
      <c r="K334" s="1"/>
    </row>
    <row r="335" spans="1:11" x14ac:dyDescent="0.25">
      <c r="A335" s="38"/>
      <c r="B335" s="49"/>
      <c r="C335" s="49"/>
      <c r="D335" s="49"/>
      <c r="E335" s="49"/>
      <c r="F335" s="94"/>
      <c r="G335" s="49"/>
      <c r="H335" s="70"/>
      <c r="I335" s="1"/>
      <c r="J335" s="1"/>
      <c r="K335" s="1"/>
    </row>
    <row r="336" spans="1:11" ht="19.5" thickBot="1" x14ac:dyDescent="0.35">
      <c r="A336" s="79" t="s">
        <v>81</v>
      </c>
      <c r="B336" s="49"/>
      <c r="C336" s="49"/>
      <c r="D336" s="49"/>
      <c r="E336" s="49"/>
      <c r="F336" s="49"/>
      <c r="G336" s="49"/>
      <c r="H336" s="70"/>
      <c r="I336" s="1"/>
      <c r="J336" s="1"/>
      <c r="K336" s="1"/>
    </row>
    <row r="337" spans="1:11" ht="19.5" thickBot="1" x14ac:dyDescent="0.35">
      <c r="A337" s="79"/>
      <c r="B337" s="49" t="s">
        <v>82</v>
      </c>
      <c r="C337" s="49"/>
      <c r="D337" s="68">
        <f>+H337/D307</f>
        <v>13972.919143256377</v>
      </c>
      <c r="E337" s="49" t="s">
        <v>59</v>
      </c>
      <c r="F337" s="73">
        <v>70</v>
      </c>
      <c r="G337" s="49" t="s">
        <v>83</v>
      </c>
      <c r="H337" s="99">
        <f>F337*H283</f>
        <v>3526250</v>
      </c>
    </row>
    <row r="338" spans="1:11" ht="12.75" customHeight="1" x14ac:dyDescent="0.3">
      <c r="A338" s="79"/>
      <c r="B338" s="49" t="s">
        <v>84</v>
      </c>
      <c r="C338" s="49"/>
      <c r="D338" s="68">
        <v>300000</v>
      </c>
      <c r="E338" s="49" t="s">
        <v>59</v>
      </c>
      <c r="F338" s="67">
        <f>H293</f>
        <v>0</v>
      </c>
      <c r="G338" s="49" t="s">
        <v>35</v>
      </c>
      <c r="H338" s="70">
        <f>+F338*D338</f>
        <v>0</v>
      </c>
    </row>
    <row r="339" spans="1:11" x14ac:dyDescent="0.25">
      <c r="A339" s="38"/>
      <c r="B339" s="49" t="s">
        <v>57</v>
      </c>
      <c r="C339" s="49"/>
      <c r="D339" s="49"/>
      <c r="E339" s="49"/>
      <c r="F339" s="73">
        <f>280*0.92</f>
        <v>257.60000000000002</v>
      </c>
      <c r="G339" s="49" t="s">
        <v>85</v>
      </c>
      <c r="H339" s="70">
        <f>+F339*E308</f>
        <v>61758312.000000007</v>
      </c>
    </row>
    <row r="340" spans="1:11" x14ac:dyDescent="0.25">
      <c r="A340" s="38"/>
      <c r="B340" s="49" t="s">
        <v>46</v>
      </c>
      <c r="C340" s="49"/>
      <c r="D340" s="49"/>
      <c r="E340" s="49"/>
      <c r="F340" s="73">
        <v>280</v>
      </c>
      <c r="G340" s="49" t="s">
        <v>85</v>
      </c>
      <c r="H340" s="70">
        <f>F340*(E309)</f>
        <v>0</v>
      </c>
    </row>
    <row r="341" spans="1:11" x14ac:dyDescent="0.25">
      <c r="A341" s="38"/>
      <c r="B341" s="49" t="s">
        <v>86</v>
      </c>
      <c r="C341" s="49" t="s">
        <v>87</v>
      </c>
      <c r="D341" s="67">
        <f>+D306</f>
        <v>189.27236842105265</v>
      </c>
      <c r="E341" s="32" t="s">
        <v>88</v>
      </c>
      <c r="F341" s="68">
        <v>35000</v>
      </c>
      <c r="G341" s="49" t="s">
        <v>89</v>
      </c>
      <c r="H341" s="70">
        <f>+F341*D306</f>
        <v>6624532.8947368423</v>
      </c>
    </row>
    <row r="342" spans="1:11" x14ac:dyDescent="0.25">
      <c r="A342" s="38"/>
      <c r="B342" s="74" t="s">
        <v>90</v>
      </c>
      <c r="C342" s="74"/>
      <c r="D342" s="74"/>
      <c r="E342" s="74"/>
      <c r="F342" s="87">
        <v>0.2</v>
      </c>
      <c r="G342" s="74" t="s">
        <v>91</v>
      </c>
      <c r="H342" s="77">
        <f>ROUND((H339+H340)*F342,-5)</f>
        <v>12400000</v>
      </c>
    </row>
    <row r="343" spans="1:11" x14ac:dyDescent="0.25">
      <c r="A343" s="38"/>
      <c r="B343" s="49"/>
      <c r="C343" s="49"/>
      <c r="D343" s="49"/>
      <c r="E343" s="49"/>
      <c r="F343" s="49"/>
      <c r="G343" s="93" t="s">
        <v>78</v>
      </c>
      <c r="H343" s="70">
        <f>ROUND(SUM(H337:H342),-5)</f>
        <v>84300000</v>
      </c>
    </row>
    <row r="344" spans="1:11" x14ac:dyDescent="0.25">
      <c r="A344" s="38"/>
      <c r="B344" s="49"/>
      <c r="C344" s="49"/>
      <c r="D344" s="49"/>
      <c r="E344" s="49"/>
      <c r="F344" s="49"/>
      <c r="G344" s="93" t="s">
        <v>80</v>
      </c>
      <c r="H344" s="70">
        <f>+H343/(E308+E309)</f>
        <v>351.62360007507976</v>
      </c>
    </row>
    <row r="345" spans="1:11" x14ac:dyDescent="0.25">
      <c r="A345" s="38"/>
      <c r="B345" s="49"/>
      <c r="C345" s="49"/>
      <c r="D345" s="49"/>
      <c r="E345" s="49"/>
      <c r="F345" s="49"/>
      <c r="G345" s="93" t="s">
        <v>59</v>
      </c>
      <c r="H345" s="70">
        <f>+H343/H286</f>
        <v>334042.42007132579</v>
      </c>
    </row>
    <row r="346" spans="1:11" x14ac:dyDescent="0.25">
      <c r="A346" s="38"/>
      <c r="B346" s="49"/>
      <c r="C346" s="49"/>
      <c r="D346" s="49"/>
      <c r="E346" s="49"/>
      <c r="F346" s="49"/>
      <c r="G346" s="49"/>
      <c r="H346" s="70"/>
    </row>
    <row r="347" spans="1:11" ht="18.75" x14ac:dyDescent="0.3">
      <c r="A347" s="100" t="s">
        <v>92</v>
      </c>
      <c r="B347" s="49"/>
      <c r="C347" s="49"/>
      <c r="D347" s="49"/>
      <c r="E347" s="93" t="s">
        <v>93</v>
      </c>
      <c r="F347" s="80">
        <f>+H327/H343</f>
        <v>6.0981742068149478E-2</v>
      </c>
      <c r="G347" s="93" t="s">
        <v>94</v>
      </c>
      <c r="H347" s="70">
        <f>+H331-H343</f>
        <v>18500000</v>
      </c>
    </row>
    <row r="348" spans="1:11" ht="15.75" thickBot="1" x14ac:dyDescent="0.3">
      <c r="A348" s="101"/>
      <c r="B348" s="102"/>
      <c r="C348" s="102"/>
      <c r="D348" s="103"/>
      <c r="E348" s="103"/>
      <c r="F348" s="103"/>
      <c r="G348" s="102"/>
      <c r="H348" s="104"/>
    </row>
    <row r="349" spans="1:11" ht="15.75" thickBot="1" x14ac:dyDescent="0.3">
      <c r="A349" s="38"/>
      <c r="B349" s="49"/>
      <c r="C349" s="49"/>
      <c r="D349" s="32"/>
      <c r="E349" s="32"/>
      <c r="F349" s="32"/>
      <c r="G349" s="49"/>
      <c r="H349" s="70"/>
    </row>
    <row r="350" spans="1:11" ht="18.75" x14ac:dyDescent="0.3">
      <c r="A350" s="3" t="s">
        <v>7</v>
      </c>
      <c r="B350" s="4"/>
      <c r="C350" s="5" t="s">
        <v>8</v>
      </c>
      <c r="D350" s="6" t="s">
        <v>9</v>
      </c>
      <c r="E350" s="7"/>
      <c r="F350" s="7"/>
      <c r="G350" s="8" t="s">
        <v>10</v>
      </c>
      <c r="H350" s="25" t="s">
        <v>11</v>
      </c>
    </row>
    <row r="351" spans="1:11" ht="18.75" x14ac:dyDescent="0.3">
      <c r="A351" s="26" t="s">
        <v>12</v>
      </c>
      <c r="B351" s="27"/>
      <c r="C351" s="11"/>
      <c r="D351" s="28" t="s">
        <v>1</v>
      </c>
      <c r="E351" s="12" t="s">
        <v>13</v>
      </c>
      <c r="F351" s="29">
        <v>1</v>
      </c>
      <c r="G351" s="30" t="s">
        <v>14</v>
      </c>
      <c r="H351" s="31">
        <v>38850</v>
      </c>
    </row>
    <row r="352" spans="1:11" ht="18.75" x14ac:dyDescent="0.3">
      <c r="A352" s="26" t="s">
        <v>105</v>
      </c>
      <c r="B352" s="27"/>
      <c r="C352" s="32"/>
      <c r="D352" s="11" t="s">
        <v>16</v>
      </c>
      <c r="E352" s="12"/>
      <c r="F352" s="33"/>
      <c r="G352" s="14" t="s">
        <v>4</v>
      </c>
      <c r="H352" s="15">
        <f>H353/H351</f>
        <v>6.3640926640926638</v>
      </c>
      <c r="I352" s="148" t="s">
        <v>138</v>
      </c>
      <c r="J352" s="146"/>
      <c r="K352" s="144" t="s">
        <v>139</v>
      </c>
    </row>
    <row r="353" spans="1:13" ht="19.5" thickBot="1" x14ac:dyDescent="0.35">
      <c r="A353" s="34" t="s">
        <v>17</v>
      </c>
      <c r="B353" s="35"/>
      <c r="C353" s="36"/>
      <c r="D353" s="11" t="s">
        <v>18</v>
      </c>
      <c r="E353" s="17"/>
      <c r="F353" s="17"/>
      <c r="G353" s="37" t="s">
        <v>19</v>
      </c>
      <c r="H353" s="31">
        <v>247245</v>
      </c>
      <c r="I353" s="145">
        <f>H351*2</f>
        <v>77700</v>
      </c>
      <c r="J353" s="146" t="s">
        <v>137</v>
      </c>
      <c r="K353" s="144">
        <f>I353/G354</f>
        <v>81.78947368421052</v>
      </c>
      <c r="M353" s="1" t="s">
        <v>106</v>
      </c>
    </row>
    <row r="354" spans="1:13" ht="18.75" x14ac:dyDescent="0.3">
      <c r="A354" s="38"/>
      <c r="B354" s="32"/>
      <c r="C354" s="36"/>
      <c r="D354" s="11" t="s">
        <v>5</v>
      </c>
      <c r="E354" s="17"/>
      <c r="F354" s="17"/>
      <c r="G354" s="18">
        <f>G286</f>
        <v>950</v>
      </c>
      <c r="H354" s="39">
        <f>H353/G354</f>
        <v>260.2578947368421</v>
      </c>
      <c r="I354" s="145">
        <f>H353-I353</f>
        <v>169545</v>
      </c>
      <c r="J354" s="147" t="s">
        <v>140</v>
      </c>
      <c r="K354" s="144">
        <f>I354/G354</f>
        <v>178.46842105263158</v>
      </c>
      <c r="M354" s="112">
        <f>H150+H218+H286+H354</f>
        <v>1568.4526315789471</v>
      </c>
    </row>
    <row r="355" spans="1:13" ht="18.75" x14ac:dyDescent="0.3">
      <c r="A355" s="38"/>
      <c r="B355" s="32"/>
      <c r="C355" s="1"/>
      <c r="D355" s="11" t="s">
        <v>20</v>
      </c>
      <c r="E355" s="17"/>
      <c r="F355" s="17"/>
      <c r="G355" s="41"/>
      <c r="H355" s="42">
        <v>0.75</v>
      </c>
      <c r="I355" s="143"/>
      <c r="J355" s="143"/>
      <c r="K355" s="144">
        <f>SUM(K353:K354)</f>
        <v>260.2578947368421</v>
      </c>
      <c r="M355" s="16"/>
    </row>
    <row r="356" spans="1:13" ht="18.75" x14ac:dyDescent="0.3">
      <c r="A356" s="38"/>
      <c r="B356" s="32"/>
      <c r="C356" s="21" t="s">
        <v>21</v>
      </c>
      <c r="D356" s="21" t="s">
        <v>101</v>
      </c>
      <c r="E356" s="22"/>
      <c r="F356" s="22"/>
      <c r="G356" s="21"/>
      <c r="H356" s="141">
        <f>K353*0.13</f>
        <v>10.632631578947368</v>
      </c>
      <c r="I356" s="44">
        <f>H354*0.2</f>
        <v>52.051578947368426</v>
      </c>
      <c r="M356" s="20">
        <f>H152+H220+H288+H356</f>
        <v>103.49877894736842</v>
      </c>
    </row>
    <row r="357" spans="1:13" ht="18.75" x14ac:dyDescent="0.3">
      <c r="A357" s="38"/>
      <c r="B357" s="32"/>
      <c r="C357" s="45"/>
      <c r="D357" s="21" t="s">
        <v>102</v>
      </c>
      <c r="E357" s="22"/>
      <c r="F357" s="22"/>
      <c r="G357" s="21"/>
      <c r="H357" s="141">
        <f>K354*0.27</f>
        <v>48.186473684210533</v>
      </c>
      <c r="I357" s="1"/>
      <c r="M357" s="20">
        <f>H153+H221+H289+H357</f>
        <v>208.58144939271259</v>
      </c>
    </row>
    <row r="358" spans="1:13" ht="18.75" x14ac:dyDescent="0.3">
      <c r="A358" s="38"/>
      <c r="B358" s="32"/>
      <c r="C358" s="45"/>
      <c r="D358" s="21" t="s">
        <v>23</v>
      </c>
      <c r="E358" s="22"/>
      <c r="F358" s="22"/>
      <c r="G358" s="21"/>
      <c r="H358" s="141">
        <f>SUM(H356:H357)</f>
        <v>58.819105263157901</v>
      </c>
      <c r="I358" s="1"/>
      <c r="J358" s="140">
        <f>K353*0.13+K354*0.27</f>
        <v>58.819105263157901</v>
      </c>
      <c r="K358" s="140">
        <f>(K353*0.13)+(K354*0.3)</f>
        <v>64.173157894736846</v>
      </c>
      <c r="M358" s="20">
        <f>H154+H222+H290+H358</f>
        <v>312.08022834008096</v>
      </c>
    </row>
    <row r="359" spans="1:13" ht="18.75" x14ac:dyDescent="0.3">
      <c r="A359" s="38"/>
      <c r="B359" s="32"/>
      <c r="C359" s="1"/>
      <c r="D359" s="21" t="s">
        <v>24</v>
      </c>
      <c r="E359" s="22"/>
      <c r="F359" s="22"/>
      <c r="G359" s="21"/>
      <c r="H359" s="46">
        <f>H358/H354</f>
        <v>0.22600315476551602</v>
      </c>
      <c r="I359" s="1"/>
      <c r="M359" s="16"/>
    </row>
    <row r="360" spans="1:13" ht="18.75" x14ac:dyDescent="0.3">
      <c r="A360" s="38"/>
      <c r="B360" s="32"/>
      <c r="C360" s="45"/>
      <c r="D360" s="21" t="s">
        <v>17</v>
      </c>
      <c r="E360" s="22"/>
      <c r="F360" s="22"/>
      <c r="G360" s="21"/>
      <c r="H360" s="47"/>
      <c r="I360" s="1"/>
      <c r="M360" s="16"/>
    </row>
    <row r="361" spans="1:13" ht="19.5" thickBot="1" x14ac:dyDescent="0.35">
      <c r="A361" s="38"/>
      <c r="B361" s="32"/>
      <c r="C361" s="36"/>
      <c r="D361" s="21" t="s">
        <v>98</v>
      </c>
      <c r="E361" s="22"/>
      <c r="F361" s="22"/>
      <c r="G361" s="21"/>
      <c r="H361" s="23">
        <v>0</v>
      </c>
      <c r="I361" s="110">
        <f>J358-H358</f>
        <v>0</v>
      </c>
      <c r="M361" s="113">
        <f>H157+H225+H293+H361</f>
        <v>0</v>
      </c>
    </row>
    <row r="362" spans="1:13" ht="18.75" x14ac:dyDescent="0.3">
      <c r="A362" s="38"/>
      <c r="B362" s="32"/>
      <c r="C362" s="36"/>
      <c r="D362" s="21" t="s">
        <v>27</v>
      </c>
      <c r="E362" s="22"/>
      <c r="F362" s="22"/>
      <c r="G362" s="21"/>
      <c r="H362" s="48">
        <v>300000</v>
      </c>
      <c r="I362" s="1"/>
      <c r="J362" s="1"/>
    </row>
    <row r="363" spans="1:13" ht="19.5" thickBot="1" x14ac:dyDescent="0.35">
      <c r="A363" s="38"/>
      <c r="B363" s="32"/>
      <c r="C363" s="49"/>
      <c r="D363" s="45"/>
      <c r="E363" s="45"/>
      <c r="F363" s="49"/>
      <c r="G363" s="45"/>
      <c r="H363" s="50"/>
      <c r="I363" s="1"/>
      <c r="J363" s="1"/>
    </row>
    <row r="364" spans="1:13" ht="19.5" thickBot="1" x14ac:dyDescent="0.35">
      <c r="A364" s="38"/>
      <c r="B364" s="32"/>
      <c r="C364" s="51" t="s">
        <v>28</v>
      </c>
      <c r="D364" s="51" t="s">
        <v>29</v>
      </c>
      <c r="E364" s="52"/>
      <c r="F364" s="53">
        <v>6.0999999999999999E-2</v>
      </c>
      <c r="G364" s="54" t="s">
        <v>30</v>
      </c>
      <c r="H364" s="55">
        <f>+F415</f>
        <v>6.0541817061564862E-2</v>
      </c>
      <c r="I364" s="1"/>
      <c r="J364" s="1"/>
    </row>
    <row r="365" spans="1:13" ht="18.75" x14ac:dyDescent="0.3">
      <c r="A365" s="38"/>
      <c r="B365" s="32"/>
      <c r="C365" s="36"/>
      <c r="D365" s="51" t="s">
        <v>31</v>
      </c>
      <c r="E365" s="52"/>
      <c r="F365" s="56">
        <f>F297</f>
        <v>3.65</v>
      </c>
      <c r="G365" s="51" t="s">
        <v>32</v>
      </c>
      <c r="H365" s="57"/>
      <c r="I365" s="1"/>
      <c r="J365" s="1"/>
    </row>
    <row r="366" spans="1:13" ht="19.5" thickBot="1" x14ac:dyDescent="0.35">
      <c r="A366" s="38"/>
      <c r="B366" s="32"/>
      <c r="C366" s="32"/>
      <c r="D366" s="36"/>
      <c r="E366" s="45"/>
      <c r="F366" s="49"/>
      <c r="G366" s="45"/>
      <c r="H366" s="58"/>
      <c r="I366" s="1"/>
      <c r="J366" s="1"/>
    </row>
    <row r="367" spans="1:13" ht="18.75" x14ac:dyDescent="0.3">
      <c r="A367" s="59" t="s">
        <v>33</v>
      </c>
      <c r="B367" s="60"/>
      <c r="C367" s="60"/>
      <c r="D367" s="60"/>
      <c r="E367" s="60"/>
      <c r="F367" s="60"/>
      <c r="G367" s="60"/>
      <c r="H367" s="61"/>
      <c r="I367" s="1"/>
      <c r="J367" s="1"/>
    </row>
    <row r="368" spans="1:13" ht="30" x14ac:dyDescent="0.25">
      <c r="A368" s="62" t="s">
        <v>34</v>
      </c>
      <c r="B368" s="63"/>
      <c r="C368" s="63"/>
      <c r="D368" s="64" t="s">
        <v>35</v>
      </c>
      <c r="E368" s="64" t="s">
        <v>36</v>
      </c>
      <c r="F368" s="64" t="s">
        <v>37</v>
      </c>
      <c r="G368" s="64" t="s">
        <v>38</v>
      </c>
      <c r="H368" s="65" t="s">
        <v>39</v>
      </c>
      <c r="I368" s="1"/>
      <c r="J368" s="1"/>
    </row>
    <row r="369" spans="1:8" x14ac:dyDescent="0.25">
      <c r="A369" s="38"/>
      <c r="B369" s="49" t="s">
        <v>40</v>
      </c>
      <c r="C369" s="49" t="s">
        <v>41</v>
      </c>
      <c r="D369" s="66">
        <f>ROUND(H354-D370-D371,0)</f>
        <v>201</v>
      </c>
      <c r="E369" s="67">
        <v>810</v>
      </c>
      <c r="F369" s="68">
        <f>+G369*E369</f>
        <v>2956.5</v>
      </c>
      <c r="G369" s="69">
        <f>F365</f>
        <v>3.65</v>
      </c>
      <c r="H369" s="70">
        <f>+D369*F369*12</f>
        <v>7131078</v>
      </c>
    </row>
    <row r="370" spans="1:8" x14ac:dyDescent="0.25">
      <c r="A370" s="38"/>
      <c r="B370" s="71" t="s">
        <v>42</v>
      </c>
      <c r="C370" s="49" t="s">
        <v>43</v>
      </c>
      <c r="D370" s="66">
        <f>H356</f>
        <v>10.632631578947368</v>
      </c>
      <c r="E370" s="67">
        <v>810</v>
      </c>
      <c r="F370" s="68">
        <v>1098.26</v>
      </c>
      <c r="G370" s="72">
        <f>IF(H370=0,0,+H370/(E370*D370)/12)</f>
        <v>1.3558765432098767</v>
      </c>
      <c r="H370" s="70">
        <f>+F370*D370*12</f>
        <v>140128.72749473684</v>
      </c>
    </row>
    <row r="371" spans="1:8" x14ac:dyDescent="0.25">
      <c r="A371" s="38"/>
      <c r="B371" s="71" t="s">
        <v>44</v>
      </c>
      <c r="C371" s="49" t="s">
        <v>45</v>
      </c>
      <c r="D371" s="66">
        <f>H357</f>
        <v>48.186473684210533</v>
      </c>
      <c r="E371" s="67">
        <v>810</v>
      </c>
      <c r="F371" s="68">
        <v>784.93925925925919</v>
      </c>
      <c r="G371" s="73">
        <f>IF(H371=0,0,+H371/(E371*D371)/12)</f>
        <v>0.96906081390031995</v>
      </c>
      <c r="H371" s="70">
        <f>+F371*D371*12</f>
        <v>453881.45952000003</v>
      </c>
    </row>
    <row r="372" spans="1:8" x14ac:dyDescent="0.25">
      <c r="A372" s="38"/>
      <c r="B372" s="49" t="s">
        <v>46</v>
      </c>
      <c r="C372" s="49" t="s">
        <v>47</v>
      </c>
      <c r="D372" s="67">
        <v>0</v>
      </c>
      <c r="E372" s="67">
        <v>0</v>
      </c>
      <c r="F372" s="73">
        <v>0</v>
      </c>
      <c r="G372" s="73">
        <v>0</v>
      </c>
      <c r="H372" s="70">
        <f>+G372*E372*D372</f>
        <v>0</v>
      </c>
    </row>
    <row r="373" spans="1:8" x14ac:dyDescent="0.25">
      <c r="A373" s="38"/>
      <c r="B373" s="49"/>
      <c r="C373" s="49" t="s">
        <v>48</v>
      </c>
      <c r="D373" s="67">
        <v>0</v>
      </c>
      <c r="E373" s="67">
        <v>5000</v>
      </c>
      <c r="F373" s="73">
        <f>+G373/12</f>
        <v>0</v>
      </c>
      <c r="G373" s="73">
        <v>0</v>
      </c>
      <c r="H373" s="70">
        <f>+G373*E373*D373</f>
        <v>0</v>
      </c>
    </row>
    <row r="374" spans="1:8" x14ac:dyDescent="0.25">
      <c r="A374" s="38"/>
      <c r="B374" s="74" t="s">
        <v>49</v>
      </c>
      <c r="C374" s="74"/>
      <c r="D374" s="75">
        <f>+H354*H355</f>
        <v>195.19342105263158</v>
      </c>
      <c r="E374" s="76"/>
      <c r="F374" s="76"/>
      <c r="G374" s="76">
        <v>250</v>
      </c>
      <c r="H374" s="77">
        <f>+D374*G374*12</f>
        <v>585580.26315789472</v>
      </c>
    </row>
    <row r="375" spans="1:8" x14ac:dyDescent="0.25">
      <c r="A375" s="38"/>
      <c r="B375" s="49" t="s">
        <v>50</v>
      </c>
      <c r="C375" s="49"/>
      <c r="D375" s="66">
        <f>+H354</f>
        <v>260.2578947368421</v>
      </c>
      <c r="E375" s="67">
        <f>(E369*D369)+(E370*D370)</f>
        <v>171422.43157894738</v>
      </c>
      <c r="F375" s="73"/>
      <c r="G375" s="68"/>
      <c r="H375" s="70">
        <f>SUM(H369:H374)</f>
        <v>8310668.450172632</v>
      </c>
    </row>
    <row r="376" spans="1:8" x14ac:dyDescent="0.25">
      <c r="A376" s="38"/>
      <c r="B376" s="49" t="s">
        <v>51</v>
      </c>
      <c r="C376" s="49"/>
      <c r="D376" s="78">
        <v>0.85</v>
      </c>
      <c r="E376" s="67">
        <f>+H353</f>
        <v>247245</v>
      </c>
      <c r="F376" s="68"/>
      <c r="G376" s="68"/>
      <c r="H376" s="70"/>
    </row>
    <row r="377" spans="1:8" x14ac:dyDescent="0.25">
      <c r="A377" s="38"/>
      <c r="B377" s="49" t="s">
        <v>52</v>
      </c>
      <c r="C377" s="49"/>
      <c r="D377" s="78">
        <v>1</v>
      </c>
      <c r="E377" s="67">
        <f>(E372*D372)+(D373*E373)</f>
        <v>0</v>
      </c>
      <c r="F377" s="68"/>
      <c r="G377" s="68"/>
      <c r="H377" s="70"/>
    </row>
    <row r="378" spans="1:8" x14ac:dyDescent="0.25">
      <c r="A378" s="38"/>
      <c r="B378" s="49"/>
      <c r="C378" s="49"/>
      <c r="D378" s="67"/>
      <c r="E378" s="68"/>
      <c r="F378" s="68"/>
      <c r="G378" s="68"/>
      <c r="H378" s="70"/>
    </row>
    <row r="379" spans="1:8" ht="18.75" x14ac:dyDescent="0.3">
      <c r="A379" s="79" t="s">
        <v>53</v>
      </c>
      <c r="B379" s="49"/>
      <c r="C379" s="49" t="str">
        <f>+C369</f>
        <v>Market Rate</v>
      </c>
      <c r="D379" s="67"/>
      <c r="E379" s="68"/>
      <c r="F379" s="68"/>
      <c r="G379" s="80">
        <v>0.05</v>
      </c>
      <c r="H379" s="70">
        <f>-G379*H369</f>
        <v>-356553.9</v>
      </c>
    </row>
    <row r="380" spans="1:8" ht="12.75" customHeight="1" x14ac:dyDescent="0.3">
      <c r="A380" s="79"/>
      <c r="B380" s="49"/>
      <c r="C380" s="49" t="str">
        <f>+C370</f>
        <v>Low Income</v>
      </c>
      <c r="D380" s="67"/>
      <c r="E380" s="68"/>
      <c r="F380" s="68"/>
      <c r="G380" s="80">
        <v>0</v>
      </c>
      <c r="H380" s="70">
        <f>-G380*H370</f>
        <v>0</v>
      </c>
    </row>
    <row r="381" spans="1:8" ht="12.75" customHeight="1" x14ac:dyDescent="0.3">
      <c r="A381" s="79"/>
      <c r="B381" s="49"/>
      <c r="C381" s="49" t="str">
        <f>+C372</f>
        <v>Market Rate Retail</v>
      </c>
      <c r="D381" s="67"/>
      <c r="E381" s="68"/>
      <c r="F381" s="68"/>
      <c r="G381" s="80">
        <v>0.1</v>
      </c>
      <c r="H381" s="70">
        <f>-G381*H372</f>
        <v>0</v>
      </c>
    </row>
    <row r="382" spans="1:8" x14ac:dyDescent="0.25">
      <c r="A382" s="38"/>
      <c r="B382" s="74"/>
      <c r="C382" s="74" t="str">
        <f>+C373</f>
        <v>Affordable Innovation</v>
      </c>
      <c r="D382" s="75"/>
      <c r="E382" s="76"/>
      <c r="F382" s="76"/>
      <c r="G382" s="81">
        <v>0.2</v>
      </c>
      <c r="H382" s="77">
        <f>-G382*H373</f>
        <v>0</v>
      </c>
    </row>
    <row r="383" spans="1:8" x14ac:dyDescent="0.25">
      <c r="A383" s="38"/>
      <c r="B383" s="49" t="s">
        <v>54</v>
      </c>
      <c r="C383" s="49"/>
      <c r="D383" s="67"/>
      <c r="E383" s="68"/>
      <c r="F383" s="68"/>
      <c r="G383" s="80"/>
      <c r="H383" s="70">
        <f>SUM(H379:H382)</f>
        <v>-356553.9</v>
      </c>
    </row>
    <row r="384" spans="1:8" s="83" customFormat="1" ht="18.75" x14ac:dyDescent="0.3">
      <c r="A384" s="82"/>
      <c r="C384" s="45"/>
      <c r="D384" s="49"/>
      <c r="E384" s="49"/>
      <c r="F384" s="84"/>
      <c r="G384" s="85"/>
      <c r="H384" s="70"/>
    </row>
    <row r="385" spans="1:11" ht="18.75" x14ac:dyDescent="0.3">
      <c r="A385" s="79" t="s">
        <v>55</v>
      </c>
      <c r="B385" s="49"/>
      <c r="C385" s="49"/>
      <c r="D385" s="67"/>
      <c r="E385" s="68"/>
      <c r="F385" s="68"/>
      <c r="G385" s="68"/>
      <c r="H385" s="70">
        <f>+H375+H383</f>
        <v>7954114.5501726316</v>
      </c>
      <c r="I385" s="1"/>
      <c r="J385" s="1"/>
      <c r="K385" s="1"/>
    </row>
    <row r="386" spans="1:11" x14ac:dyDescent="0.25">
      <c r="A386" s="38"/>
      <c r="B386" s="49"/>
      <c r="C386" s="49"/>
      <c r="D386" s="67"/>
      <c r="E386" s="68"/>
      <c r="F386" s="68"/>
      <c r="G386" s="68"/>
      <c r="H386" s="70"/>
      <c r="I386" s="1"/>
      <c r="J386" s="1"/>
      <c r="K386" s="1"/>
    </row>
    <row r="387" spans="1:11" ht="18.75" x14ac:dyDescent="0.3">
      <c r="A387" s="79" t="s">
        <v>56</v>
      </c>
      <c r="B387" s="49"/>
      <c r="C387" s="49"/>
      <c r="D387" s="49"/>
      <c r="E387" s="49"/>
      <c r="F387" s="49"/>
      <c r="G387" s="49"/>
      <c r="H387" s="70"/>
      <c r="I387" s="1"/>
      <c r="J387" s="1"/>
      <c r="K387" s="1"/>
    </row>
    <row r="388" spans="1:11" x14ac:dyDescent="0.25">
      <c r="A388" s="38"/>
      <c r="B388" s="49" t="s">
        <v>57</v>
      </c>
      <c r="C388" s="49" t="s">
        <v>58</v>
      </c>
      <c r="D388" s="49"/>
      <c r="E388" s="49"/>
      <c r="F388" s="68">
        <v>7500</v>
      </c>
      <c r="G388" s="68" t="s">
        <v>59</v>
      </c>
      <c r="H388" s="70">
        <f>-F388*D375</f>
        <v>-1951934.2105263157</v>
      </c>
      <c r="I388" s="1"/>
      <c r="J388" s="1"/>
      <c r="K388" s="1"/>
    </row>
    <row r="389" spans="1:11" x14ac:dyDescent="0.25">
      <c r="A389" s="38"/>
      <c r="B389" s="49"/>
      <c r="C389" s="49" t="s">
        <v>60</v>
      </c>
      <c r="D389" s="78">
        <v>7.0000000000000007E-2</v>
      </c>
      <c r="E389" s="49" t="s">
        <v>61</v>
      </c>
      <c r="F389" s="68">
        <f>ROUND(-H389/D375,-2)</f>
        <v>2100</v>
      </c>
      <c r="G389" s="68" t="s">
        <v>59</v>
      </c>
      <c r="H389" s="70">
        <f>(H369+H370+H374)*-D389</f>
        <v>-549975.08934568428</v>
      </c>
      <c r="I389" s="1"/>
      <c r="J389" s="1"/>
      <c r="K389" s="1"/>
    </row>
    <row r="390" spans="1:11" x14ac:dyDescent="0.25">
      <c r="A390" s="38"/>
      <c r="B390" s="49"/>
      <c r="C390" s="49" t="s">
        <v>62</v>
      </c>
      <c r="D390" s="80">
        <v>2.5000000000000001E-2</v>
      </c>
      <c r="E390" s="49" t="s">
        <v>63</v>
      </c>
      <c r="F390" s="68">
        <f>-H390/D375</f>
        <v>716.97610255657344</v>
      </c>
      <c r="G390" s="68" t="s">
        <v>59</v>
      </c>
      <c r="H390" s="70">
        <f>-D390*((H369+H370+H374)*(1-G379))</f>
        <v>-186598.691028</v>
      </c>
      <c r="I390" s="1"/>
      <c r="J390" s="1"/>
      <c r="K390" s="1"/>
    </row>
    <row r="391" spans="1:11" x14ac:dyDescent="0.25">
      <c r="A391" s="38"/>
      <c r="B391" s="49"/>
      <c r="C391" s="49" t="s">
        <v>64</v>
      </c>
      <c r="D391" s="49"/>
      <c r="E391" s="49"/>
      <c r="F391" s="68">
        <v>250</v>
      </c>
      <c r="G391" s="68" t="s">
        <v>59</v>
      </c>
      <c r="H391" s="70">
        <f>-F391*D375</f>
        <v>-65064.473684210527</v>
      </c>
      <c r="I391" s="1"/>
      <c r="J391" s="1"/>
      <c r="K391" s="1"/>
    </row>
    <row r="392" spans="1:11" x14ac:dyDescent="0.25">
      <c r="A392" s="38"/>
      <c r="B392" s="74" t="s">
        <v>46</v>
      </c>
      <c r="C392" s="86" t="s">
        <v>65</v>
      </c>
      <c r="D392" s="74"/>
      <c r="E392" s="74"/>
      <c r="F392" s="87">
        <v>0.02</v>
      </c>
      <c r="G392" s="74" t="s">
        <v>66</v>
      </c>
      <c r="H392" s="77">
        <f>-F392*(H372+H373)</f>
        <v>0</v>
      </c>
      <c r="I392" s="1"/>
      <c r="J392" s="1"/>
      <c r="K392" s="1"/>
    </row>
    <row r="393" spans="1:11" x14ac:dyDescent="0.25">
      <c r="A393" s="38"/>
      <c r="B393" s="49" t="s">
        <v>67</v>
      </c>
      <c r="C393" s="49"/>
      <c r="D393" s="78">
        <f>-H393/H385</f>
        <v>0.34618214852392942</v>
      </c>
      <c r="E393" s="68" t="s">
        <v>68</v>
      </c>
      <c r="F393" s="68">
        <f>-H393/D375</f>
        <v>10580.168825881208</v>
      </c>
      <c r="G393" s="68" t="s">
        <v>59</v>
      </c>
      <c r="H393" s="70">
        <f>SUM(H388:H392)</f>
        <v>-2753572.46458421</v>
      </c>
      <c r="I393" s="1"/>
      <c r="J393" s="1"/>
      <c r="K393" s="1"/>
    </row>
    <row r="394" spans="1:11" ht="15.75" thickBot="1" x14ac:dyDescent="0.3">
      <c r="A394" s="38"/>
      <c r="B394" s="49"/>
      <c r="C394" s="49"/>
      <c r="D394" s="49"/>
      <c r="E394" s="32"/>
      <c r="F394" s="49"/>
      <c r="G394" s="49"/>
      <c r="H394" s="70"/>
      <c r="I394" s="1"/>
      <c r="J394" s="1"/>
      <c r="K394" s="1"/>
    </row>
    <row r="395" spans="1:11" ht="18.75" x14ac:dyDescent="0.3">
      <c r="A395" s="79" t="s">
        <v>69</v>
      </c>
      <c r="B395" s="49"/>
      <c r="C395" s="49"/>
      <c r="D395" s="78">
        <f>+H395/H385</f>
        <v>0.65381785147607063</v>
      </c>
      <c r="E395" s="68" t="s">
        <v>68</v>
      </c>
      <c r="F395" s="68">
        <f>+H395/D375</f>
        <v>19982.264479803438</v>
      </c>
      <c r="G395" s="68" t="s">
        <v>59</v>
      </c>
      <c r="H395" s="70">
        <f>+H385+H393</f>
        <v>5200542.0855884217</v>
      </c>
      <c r="I395" s="1"/>
      <c r="J395" s="88">
        <f>+H395/1.25</f>
        <v>4160433.6684707375</v>
      </c>
      <c r="K395" s="89" t="s">
        <v>70</v>
      </c>
    </row>
    <row r="396" spans="1:11" x14ac:dyDescent="0.25">
      <c r="A396" s="38"/>
      <c r="B396" s="49"/>
      <c r="C396" s="49"/>
      <c r="D396" s="49"/>
      <c r="E396" s="49"/>
      <c r="F396" s="49"/>
      <c r="G396" s="49"/>
      <c r="H396" s="70"/>
      <c r="I396" s="1"/>
      <c r="J396" s="90">
        <f>-J395/(PMT(0.04/12,30*12,1)*12)</f>
        <v>72620799.752105653</v>
      </c>
      <c r="K396" s="91" t="s">
        <v>71</v>
      </c>
    </row>
    <row r="397" spans="1:11" ht="18.75" x14ac:dyDescent="0.3">
      <c r="A397" s="79" t="s">
        <v>72</v>
      </c>
      <c r="B397" s="49"/>
      <c r="C397" s="49"/>
      <c r="D397" s="49"/>
      <c r="E397" s="49"/>
      <c r="F397" s="49"/>
      <c r="G397" s="49"/>
      <c r="H397" s="70"/>
      <c r="I397" s="1"/>
      <c r="J397" s="92">
        <f>+H411-J396</f>
        <v>13279200.247894347</v>
      </c>
      <c r="K397" s="91" t="s">
        <v>73</v>
      </c>
    </row>
    <row r="398" spans="1:11" x14ac:dyDescent="0.25">
      <c r="A398" s="38"/>
      <c r="B398" s="49" t="s">
        <v>74</v>
      </c>
      <c r="C398" s="49"/>
      <c r="D398" s="49"/>
      <c r="E398" s="93" t="s">
        <v>75</v>
      </c>
      <c r="F398" s="94">
        <v>0.05</v>
      </c>
      <c r="G398" s="49" t="s">
        <v>76</v>
      </c>
      <c r="H398" s="70">
        <f>+H395/F398</f>
        <v>104010841.71176843</v>
      </c>
      <c r="I398" s="1"/>
      <c r="J398" s="92">
        <f>+H395-J395</f>
        <v>1040108.4171176841</v>
      </c>
      <c r="K398" s="91" t="s">
        <v>77</v>
      </c>
    </row>
    <row r="399" spans="1:11" ht="15.75" thickBot="1" x14ac:dyDescent="0.3">
      <c r="A399" s="38"/>
      <c r="B399" s="49"/>
      <c r="C399" s="49"/>
      <c r="D399" s="49"/>
      <c r="E399" s="49"/>
      <c r="F399" s="49"/>
      <c r="G399" s="93" t="s">
        <v>78</v>
      </c>
      <c r="H399" s="70">
        <f>ROUND(H398,-5)</f>
        <v>104000000</v>
      </c>
      <c r="I399" s="1"/>
      <c r="J399" s="95">
        <f>+J398/J397</f>
        <v>7.8326133931342121E-2</v>
      </c>
      <c r="K399" s="96" t="s">
        <v>79</v>
      </c>
    </row>
    <row r="400" spans="1:11" x14ac:dyDescent="0.25">
      <c r="A400" s="38"/>
      <c r="B400" s="49"/>
      <c r="C400" s="49"/>
      <c r="D400" s="49"/>
      <c r="E400" s="49"/>
      <c r="F400" s="49"/>
      <c r="G400" s="93" t="s">
        <v>80</v>
      </c>
      <c r="H400" s="70">
        <f>+H399/E376</f>
        <v>420.635402131489</v>
      </c>
      <c r="I400" s="1"/>
      <c r="J400" s="1"/>
      <c r="K400" s="1"/>
    </row>
    <row r="401" spans="1:11" x14ac:dyDescent="0.25">
      <c r="A401" s="38"/>
      <c r="B401" s="49"/>
      <c r="C401" s="49"/>
      <c r="D401" s="49"/>
      <c r="E401" s="49"/>
      <c r="F401" s="49"/>
      <c r="G401" s="93" t="s">
        <v>59</v>
      </c>
      <c r="H401" s="70">
        <f>+H399/D375</f>
        <v>399603.63202491455</v>
      </c>
      <c r="I401" s="1"/>
      <c r="J401" s="1">
        <v>646091.59779614327</v>
      </c>
      <c r="K401" s="2">
        <f>+J401-H401</f>
        <v>246487.96577122872</v>
      </c>
    </row>
    <row r="402" spans="1:11" x14ac:dyDescent="0.25">
      <c r="A402" s="97"/>
      <c r="B402" s="74"/>
      <c r="C402" s="74"/>
      <c r="D402" s="74"/>
      <c r="E402" s="74"/>
      <c r="F402" s="74"/>
      <c r="G402" s="98"/>
      <c r="H402" s="77"/>
      <c r="I402" s="1"/>
      <c r="J402" s="1"/>
      <c r="K402" s="1"/>
    </row>
    <row r="403" spans="1:11" x14ac:dyDescent="0.25">
      <c r="A403" s="38"/>
      <c r="B403" s="49"/>
      <c r="C403" s="49"/>
      <c r="D403" s="49"/>
      <c r="E403" s="49"/>
      <c r="F403" s="94"/>
      <c r="G403" s="49"/>
      <c r="H403" s="70"/>
      <c r="I403" s="1"/>
      <c r="J403" s="1"/>
      <c r="K403" s="1"/>
    </row>
    <row r="404" spans="1:11" ht="19.5" thickBot="1" x14ac:dyDescent="0.35">
      <c r="A404" s="79" t="s">
        <v>81</v>
      </c>
      <c r="B404" s="49"/>
      <c r="C404" s="49"/>
      <c r="D404" s="49"/>
      <c r="E404" s="49"/>
      <c r="F404" s="49"/>
      <c r="G404" s="49"/>
      <c r="H404" s="70"/>
      <c r="I404" s="1"/>
      <c r="J404" s="1"/>
      <c r="K404" s="1"/>
    </row>
    <row r="405" spans="1:11" ht="19.5" thickBot="1" x14ac:dyDescent="0.35">
      <c r="A405" s="79"/>
      <c r="B405" s="49" t="s">
        <v>82</v>
      </c>
      <c r="C405" s="49"/>
      <c r="D405" s="68">
        <f>+H405/D375</f>
        <v>10449.250743189954</v>
      </c>
      <c r="E405" s="49" t="s">
        <v>59</v>
      </c>
      <c r="F405" s="73">
        <v>70</v>
      </c>
      <c r="G405" s="49" t="s">
        <v>83</v>
      </c>
      <c r="H405" s="99">
        <f>F405*H351</f>
        <v>2719500</v>
      </c>
      <c r="I405" s="1"/>
      <c r="J405" s="1"/>
      <c r="K405" s="1"/>
    </row>
    <row r="406" spans="1:11" ht="12.75" customHeight="1" x14ac:dyDescent="0.3">
      <c r="A406" s="79"/>
      <c r="B406" s="49" t="s">
        <v>84</v>
      </c>
      <c r="C406" s="49"/>
      <c r="D406" s="68">
        <v>300000</v>
      </c>
      <c r="E406" s="49" t="s">
        <v>59</v>
      </c>
      <c r="F406" s="67">
        <f>H361</f>
        <v>0</v>
      </c>
      <c r="G406" s="49" t="s">
        <v>35</v>
      </c>
      <c r="H406" s="70">
        <f>+F406*D406</f>
        <v>0</v>
      </c>
      <c r="I406" s="1"/>
      <c r="J406" s="1"/>
      <c r="K406" s="1"/>
    </row>
    <row r="407" spans="1:11" x14ac:dyDescent="0.25">
      <c r="A407" s="38"/>
      <c r="B407" s="49" t="s">
        <v>57</v>
      </c>
      <c r="C407" s="49"/>
      <c r="D407" s="49"/>
      <c r="E407" s="49"/>
      <c r="F407" s="73">
        <f>280*0.92</f>
        <v>257.60000000000002</v>
      </c>
      <c r="G407" s="49" t="s">
        <v>85</v>
      </c>
      <c r="H407" s="70">
        <f>+F407*E376</f>
        <v>63690312.000000007</v>
      </c>
      <c r="I407" s="1"/>
      <c r="J407" s="1"/>
      <c r="K407" s="1"/>
    </row>
    <row r="408" spans="1:11" x14ac:dyDescent="0.25">
      <c r="A408" s="38"/>
      <c r="B408" s="49" t="s">
        <v>46</v>
      </c>
      <c r="C408" s="49"/>
      <c r="D408" s="49"/>
      <c r="E408" s="49"/>
      <c r="F408" s="73">
        <v>280</v>
      </c>
      <c r="G408" s="49" t="s">
        <v>85</v>
      </c>
      <c r="H408" s="70">
        <f>F408*(E377)</f>
        <v>0</v>
      </c>
      <c r="I408" s="1"/>
      <c r="J408" s="1"/>
      <c r="K408" s="1"/>
    </row>
    <row r="409" spans="1:11" x14ac:dyDescent="0.25">
      <c r="A409" s="38"/>
      <c r="B409" s="49" t="s">
        <v>86</v>
      </c>
      <c r="C409" s="49" t="s">
        <v>87</v>
      </c>
      <c r="D409" s="67">
        <f>+D374</f>
        <v>195.19342105263158</v>
      </c>
      <c r="E409" s="32" t="s">
        <v>88</v>
      </c>
      <c r="F409" s="68">
        <v>35000</v>
      </c>
      <c r="G409" s="49" t="s">
        <v>89</v>
      </c>
      <c r="H409" s="70">
        <f>+F409*D374</f>
        <v>6831769.7368421052</v>
      </c>
      <c r="I409" s="1"/>
      <c r="J409" s="1"/>
      <c r="K409" s="1"/>
    </row>
    <row r="410" spans="1:11" x14ac:dyDescent="0.25">
      <c r="A410" s="38"/>
      <c r="B410" s="74" t="s">
        <v>90</v>
      </c>
      <c r="C410" s="74"/>
      <c r="D410" s="74"/>
      <c r="E410" s="74"/>
      <c r="F410" s="87">
        <v>0.2</v>
      </c>
      <c r="G410" s="74" t="s">
        <v>91</v>
      </c>
      <c r="H410" s="77">
        <f>ROUND((H407+H408)*F410,-5)</f>
        <v>12700000</v>
      </c>
      <c r="I410" s="1"/>
      <c r="J410" s="1"/>
      <c r="K410" s="1"/>
    </row>
    <row r="411" spans="1:11" x14ac:dyDescent="0.25">
      <c r="A411" s="38"/>
      <c r="B411" s="49"/>
      <c r="C411" s="49"/>
      <c r="D411" s="49"/>
      <c r="E411" s="49"/>
      <c r="F411" s="49"/>
      <c r="G411" s="93" t="s">
        <v>78</v>
      </c>
      <c r="H411" s="70">
        <f>ROUND(SUM(H405:H410),-5)</f>
        <v>85900000</v>
      </c>
      <c r="I411" s="1"/>
      <c r="J411" s="1"/>
      <c r="K411" s="1"/>
    </row>
    <row r="412" spans="1:11" x14ac:dyDescent="0.25">
      <c r="A412" s="38"/>
      <c r="B412" s="49"/>
      <c r="C412" s="49"/>
      <c r="D412" s="49"/>
      <c r="E412" s="49"/>
      <c r="F412" s="49"/>
      <c r="G412" s="93" t="s">
        <v>80</v>
      </c>
      <c r="H412" s="70">
        <f>+H411/(E376+E377)</f>
        <v>347.42866387591255</v>
      </c>
      <c r="I412" s="1"/>
      <c r="J412" s="1"/>
      <c r="K412" s="1"/>
    </row>
    <row r="413" spans="1:11" x14ac:dyDescent="0.25">
      <c r="A413" s="38"/>
      <c r="B413" s="49"/>
      <c r="C413" s="49"/>
      <c r="D413" s="49"/>
      <c r="E413" s="49"/>
      <c r="F413" s="49"/>
      <c r="G413" s="93" t="s">
        <v>59</v>
      </c>
      <c r="H413" s="70">
        <f>+H411/H354</f>
        <v>330057.23068211693</v>
      </c>
      <c r="I413" s="1"/>
      <c r="J413" s="1">
        <v>486340.6795224977</v>
      </c>
      <c r="K413" s="1"/>
    </row>
    <row r="414" spans="1:11" x14ac:dyDescent="0.25">
      <c r="A414" s="38"/>
      <c r="B414" s="49"/>
      <c r="C414" s="49"/>
      <c r="D414" s="49"/>
      <c r="E414" s="49"/>
      <c r="F414" s="49"/>
      <c r="G414" s="49"/>
      <c r="H414" s="70"/>
      <c r="I414" s="1"/>
      <c r="J414" s="1"/>
      <c r="K414" s="1"/>
    </row>
    <row r="415" spans="1:11" ht="18.75" x14ac:dyDescent="0.3">
      <c r="A415" s="100" t="s">
        <v>92</v>
      </c>
      <c r="B415" s="49"/>
      <c r="C415" s="49"/>
      <c r="D415" s="49"/>
      <c r="E415" s="93" t="s">
        <v>93</v>
      </c>
      <c r="F415" s="80">
        <f>+H395/H411</f>
        <v>6.0541817061564862E-2</v>
      </c>
      <c r="G415" s="93" t="s">
        <v>94</v>
      </c>
      <c r="H415" s="70">
        <f>+H399-H411</f>
        <v>18100000</v>
      </c>
      <c r="I415" s="1"/>
      <c r="J415" s="1"/>
      <c r="K415" s="1"/>
    </row>
    <row r="416" spans="1:11" ht="15.75" thickBot="1" x14ac:dyDescent="0.3">
      <c r="A416" s="101"/>
      <c r="B416" s="102"/>
      <c r="C416" s="102"/>
      <c r="D416" s="103"/>
      <c r="E416" s="103"/>
      <c r="F416" s="103"/>
      <c r="G416" s="102"/>
      <c r="H416" s="104"/>
      <c r="I416" s="1"/>
      <c r="J416" s="1"/>
      <c r="K416" s="1"/>
    </row>
    <row r="417" spans="1:10" ht="24.95" customHeight="1" x14ac:dyDescent="0.25">
      <c r="A417" s="32"/>
      <c r="B417" s="49"/>
      <c r="C417" s="49"/>
      <c r="D417" s="32"/>
      <c r="E417" s="32"/>
      <c r="F417" s="32"/>
      <c r="G417" s="49"/>
      <c r="H417" s="114"/>
      <c r="I417" s="1"/>
      <c r="J417" s="1"/>
    </row>
    <row r="418" spans="1:10" ht="18.95" customHeight="1" thickBot="1" x14ac:dyDescent="0.3">
      <c r="A418" s="115"/>
      <c r="B418" s="115"/>
      <c r="C418" s="115"/>
      <c r="D418" s="115"/>
      <c r="E418" s="115"/>
      <c r="F418" s="115"/>
      <c r="G418" s="115"/>
      <c r="H418" s="116"/>
      <c r="I418" s="1"/>
      <c r="J418" s="1"/>
    </row>
    <row r="419" spans="1:10" ht="15.75" x14ac:dyDescent="0.25">
      <c r="A419" s="1"/>
      <c r="B419" s="117" t="s">
        <v>107</v>
      </c>
      <c r="C419" s="118"/>
      <c r="D419" s="118"/>
      <c r="E419" s="118"/>
      <c r="F419" s="118"/>
      <c r="G419" s="118"/>
      <c r="H419" s="119">
        <f>H82+H150+H218+H286+H354+H4+H11</f>
        <v>2074.5</v>
      </c>
      <c r="I419" s="1"/>
      <c r="J419" s="120">
        <f>J4+J82+M354</f>
        <v>2074.5</v>
      </c>
    </row>
    <row r="420" spans="1:10" ht="15.75" x14ac:dyDescent="0.25">
      <c r="A420" s="1"/>
      <c r="B420" s="117" t="s">
        <v>108</v>
      </c>
      <c r="C420" s="118"/>
      <c r="D420" s="118"/>
      <c r="E420" s="118"/>
      <c r="F420" s="118"/>
      <c r="G420" s="118"/>
      <c r="H420" s="119">
        <f>H419-H423</f>
        <v>1706.1705085020244</v>
      </c>
      <c r="I420" s="1"/>
      <c r="J420" s="121"/>
    </row>
    <row r="421" spans="1:10" ht="15.75" x14ac:dyDescent="0.25">
      <c r="A421" s="1"/>
      <c r="B421" s="117" t="s">
        <v>109</v>
      </c>
      <c r="C421" s="118"/>
      <c r="D421" s="118"/>
      <c r="E421" s="118"/>
      <c r="F421" s="118"/>
      <c r="G421" s="118"/>
      <c r="H421" s="119">
        <f>H84+H152+H220+H288+H356+H13</f>
        <v>159.74804210526315</v>
      </c>
      <c r="I421" s="1"/>
      <c r="J421" s="122">
        <f>J84+M356</f>
        <v>159.74804210526315</v>
      </c>
    </row>
    <row r="422" spans="1:10" ht="15.75" x14ac:dyDescent="0.25">
      <c r="A422" s="1"/>
      <c r="B422" s="117" t="s">
        <v>110</v>
      </c>
      <c r="C422" s="118"/>
      <c r="D422" s="118"/>
      <c r="E422" s="118"/>
      <c r="F422" s="118"/>
      <c r="G422" s="118"/>
      <c r="H422" s="119">
        <f>H85+H153+H221+H289+H357+H14</f>
        <v>208.58144939271259</v>
      </c>
      <c r="I422" s="1"/>
      <c r="J422" s="122">
        <f>J85+M357</f>
        <v>208.58144939271259</v>
      </c>
    </row>
    <row r="423" spans="1:10" ht="16.5" thickBot="1" x14ac:dyDescent="0.3">
      <c r="A423" s="1"/>
      <c r="B423" s="117" t="s">
        <v>111</v>
      </c>
      <c r="C423" s="118"/>
      <c r="D423" s="118"/>
      <c r="E423" s="118"/>
      <c r="F423" s="118"/>
      <c r="G423" s="118"/>
      <c r="H423" s="119">
        <f>H421+H422</f>
        <v>368.32949149797571</v>
      </c>
      <c r="I423" s="1"/>
      <c r="J423" s="123">
        <f>J86+M358</f>
        <v>368.32949149797571</v>
      </c>
    </row>
    <row r="424" spans="1:10" ht="15.75" x14ac:dyDescent="0.25">
      <c r="A424" s="1"/>
      <c r="B424" s="117" t="s">
        <v>141</v>
      </c>
      <c r="C424" s="118"/>
      <c r="D424" s="118"/>
      <c r="E424" s="118"/>
      <c r="F424" s="118"/>
      <c r="G424" s="118"/>
      <c r="H424" s="124">
        <f>(H154+H222+H290+H358)/(H150+H218+H286+H354)</f>
        <v>0.19897332061977072</v>
      </c>
      <c r="I424" s="1"/>
      <c r="J424" s="149"/>
    </row>
    <row r="425" spans="1:10" ht="15.75" x14ac:dyDescent="0.25">
      <c r="A425" s="1"/>
      <c r="B425" s="117" t="s">
        <v>142</v>
      </c>
      <c r="C425" s="118"/>
      <c r="D425" s="118"/>
      <c r="E425" s="118"/>
      <c r="F425" s="118"/>
      <c r="G425" s="118"/>
      <c r="H425" s="124">
        <f>H423/H419</f>
        <v>0.17755097204047998</v>
      </c>
      <c r="I425" s="1"/>
      <c r="J425" s="1"/>
    </row>
    <row r="426" spans="1:10" ht="15.75" x14ac:dyDescent="0.25">
      <c r="A426" s="1"/>
      <c r="B426" s="117" t="s">
        <v>112</v>
      </c>
      <c r="C426" s="118"/>
      <c r="D426" s="118"/>
      <c r="E426" s="118"/>
      <c r="F426" s="118"/>
      <c r="G426" s="118"/>
      <c r="H426" s="119">
        <f>H89+H157+H225+H293+H361+H18</f>
        <v>0</v>
      </c>
      <c r="I426" s="1"/>
      <c r="J426" s="1"/>
    </row>
    <row r="427" spans="1:10" ht="15.75" x14ac:dyDescent="0.25">
      <c r="A427" s="1"/>
      <c r="B427" s="117" t="s">
        <v>113</v>
      </c>
      <c r="C427" s="118"/>
      <c r="D427" s="118"/>
      <c r="E427" s="118"/>
      <c r="F427" s="118"/>
      <c r="G427" s="118"/>
      <c r="H427" s="125">
        <f>H134+H202+H270+H338+H406+H64</f>
        <v>0</v>
      </c>
      <c r="I427" s="1"/>
      <c r="J427" s="1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1"/>
      <c r="J432" s="1"/>
    </row>
    <row r="433" spans="1:8" s="129" customFormat="1" ht="12.95" customHeight="1" x14ac:dyDescent="0.25">
      <c r="A433" s="126"/>
      <c r="B433" s="127" t="s">
        <v>114</v>
      </c>
      <c r="C433" s="128" t="str">
        <f>A9</f>
        <v>Base Model &lt;2 FAR</v>
      </c>
      <c r="D433" s="126"/>
      <c r="E433" s="126"/>
      <c r="H433" s="130"/>
    </row>
    <row r="434" spans="1:8" ht="10.5" customHeight="1" x14ac:dyDescent="0.25">
      <c r="A434" s="131"/>
      <c r="B434" s="131" t="s">
        <v>115</v>
      </c>
      <c r="C434" s="132">
        <f>H8</f>
        <v>157010</v>
      </c>
      <c r="D434" s="131"/>
      <c r="E434" s="131"/>
    </row>
    <row r="435" spans="1:8" ht="10.5" customHeight="1" x14ac:dyDescent="0.25">
      <c r="A435" s="131"/>
      <c r="B435" s="131" t="s">
        <v>116</v>
      </c>
      <c r="C435" s="132">
        <f>H10</f>
        <v>228360</v>
      </c>
      <c r="D435" s="131"/>
      <c r="E435" s="131"/>
    </row>
    <row r="436" spans="1:8" ht="10.5" customHeight="1" x14ac:dyDescent="0.25">
      <c r="A436" s="131"/>
      <c r="B436" s="131" t="s">
        <v>117</v>
      </c>
      <c r="C436" s="132">
        <f>G11</f>
        <v>950</v>
      </c>
      <c r="D436" s="131"/>
      <c r="E436" s="131"/>
    </row>
    <row r="437" spans="1:8" ht="10.5" customHeight="1" x14ac:dyDescent="0.25">
      <c r="A437" s="131"/>
      <c r="B437" s="131" t="s">
        <v>107</v>
      </c>
      <c r="C437" s="132">
        <f>H11</f>
        <v>240.37894736842105</v>
      </c>
      <c r="D437" s="131"/>
      <c r="E437" s="131"/>
    </row>
    <row r="438" spans="1:8" ht="10.5" customHeight="1" x14ac:dyDescent="0.25">
      <c r="A438" s="131"/>
      <c r="B438" s="131" t="s">
        <v>118</v>
      </c>
      <c r="C438" s="132">
        <f>H13</f>
        <v>31.249263157894738</v>
      </c>
      <c r="D438" s="131"/>
      <c r="E438" s="131"/>
    </row>
    <row r="439" spans="1:8" ht="10.5" customHeight="1" x14ac:dyDescent="0.25">
      <c r="A439" s="131"/>
      <c r="B439" s="131" t="s">
        <v>119</v>
      </c>
      <c r="C439" s="132">
        <f>H14</f>
        <v>0</v>
      </c>
      <c r="D439" s="131"/>
      <c r="E439" s="131"/>
    </row>
    <row r="440" spans="1:8" ht="10.5" customHeight="1" x14ac:dyDescent="0.25">
      <c r="A440" s="131"/>
      <c r="B440" s="131" t="s">
        <v>120</v>
      </c>
      <c r="C440" s="132">
        <f>H18</f>
        <v>0</v>
      </c>
      <c r="D440" s="131"/>
      <c r="E440" s="131"/>
    </row>
    <row r="441" spans="1:8" ht="10.5" customHeight="1" x14ac:dyDescent="0.25">
      <c r="A441" s="131"/>
      <c r="B441" s="131"/>
      <c r="C441" s="132"/>
      <c r="D441" s="131"/>
      <c r="E441" s="131"/>
    </row>
    <row r="442" spans="1:8" ht="10.5" customHeight="1" x14ac:dyDescent="0.25">
      <c r="A442" s="131"/>
      <c r="B442" s="133" t="s">
        <v>121</v>
      </c>
      <c r="C442" s="132"/>
      <c r="D442" s="131"/>
      <c r="E442" s="131"/>
    </row>
    <row r="443" spans="1:8" ht="10.5" customHeight="1" x14ac:dyDescent="0.25">
      <c r="A443" s="131"/>
      <c r="B443" s="131" t="s">
        <v>122</v>
      </c>
      <c r="C443" s="134">
        <f>H28</f>
        <v>411837.78906947369</v>
      </c>
      <c r="D443" s="135" t="s">
        <v>123</v>
      </c>
      <c r="E443" s="134">
        <v>1098.26</v>
      </c>
    </row>
    <row r="444" spans="1:8" ht="10.5" customHeight="1" x14ac:dyDescent="0.25">
      <c r="A444" s="131"/>
      <c r="B444" s="131" t="s">
        <v>124</v>
      </c>
      <c r="C444" s="134">
        <f>H29</f>
        <v>0</v>
      </c>
      <c r="D444" s="135" t="s">
        <v>123</v>
      </c>
      <c r="E444" s="134">
        <v>784.93925925925919</v>
      </c>
    </row>
    <row r="445" spans="1:8" ht="10.5" customHeight="1" x14ac:dyDescent="0.25">
      <c r="A445" s="131"/>
      <c r="B445" s="131" t="s">
        <v>125</v>
      </c>
      <c r="C445" s="136">
        <f>H27</f>
        <v>7414902</v>
      </c>
      <c r="D445" s="135" t="s">
        <v>123</v>
      </c>
      <c r="E445" s="134">
        <v>2956.5</v>
      </c>
    </row>
    <row r="446" spans="1:8" ht="10.5" customHeight="1" x14ac:dyDescent="0.25">
      <c r="A446" s="131"/>
      <c r="B446" s="131" t="s">
        <v>126</v>
      </c>
      <c r="C446" s="136">
        <f>H32</f>
        <v>540852.63157894742</v>
      </c>
      <c r="D446" s="135"/>
      <c r="E446" s="134"/>
    </row>
    <row r="447" spans="1:8" ht="10.5" customHeight="1" x14ac:dyDescent="0.25">
      <c r="A447" s="131"/>
      <c r="B447" s="131" t="s">
        <v>127</v>
      </c>
      <c r="C447" s="136">
        <f>H41</f>
        <v>-370745.10000000003</v>
      </c>
      <c r="D447" s="135"/>
      <c r="E447" s="134"/>
    </row>
    <row r="448" spans="1:8" ht="10.5" customHeight="1" x14ac:dyDescent="0.25">
      <c r="A448" s="131"/>
      <c r="B448" s="131" t="s">
        <v>128</v>
      </c>
      <c r="C448" s="136">
        <f>H51</f>
        <v>-2647398.6315410528</v>
      </c>
      <c r="D448" s="131"/>
      <c r="E448" s="131"/>
    </row>
    <row r="449" spans="1:5" ht="10.5" customHeight="1" x14ac:dyDescent="0.25">
      <c r="A449" s="131"/>
      <c r="B449" s="131" t="s">
        <v>129</v>
      </c>
      <c r="C449" s="134">
        <f>SUM(C443:C448)</f>
        <v>5349448.6891073687</v>
      </c>
      <c r="D449" s="131"/>
      <c r="E449" s="131"/>
    </row>
    <row r="450" spans="1:5" ht="10.5" customHeight="1" x14ac:dyDescent="0.25">
      <c r="A450" s="131"/>
      <c r="B450" s="131"/>
      <c r="C450" s="131"/>
      <c r="D450" s="131"/>
      <c r="E450" s="131"/>
    </row>
    <row r="451" spans="1:5" ht="10.5" customHeight="1" x14ac:dyDescent="0.25">
      <c r="A451" s="131"/>
      <c r="B451" s="133" t="s">
        <v>130</v>
      </c>
      <c r="C451" s="131"/>
      <c r="D451" s="131"/>
      <c r="E451" s="131"/>
    </row>
    <row r="452" spans="1:5" ht="10.5" customHeight="1" x14ac:dyDescent="0.25">
      <c r="A452" s="131"/>
      <c r="B452" s="131" t="s">
        <v>131</v>
      </c>
      <c r="C452" s="136">
        <f>H65+H67</f>
        <v>65135483.368421063</v>
      </c>
      <c r="D452" s="131"/>
      <c r="E452" s="131"/>
    </row>
    <row r="453" spans="1:5" ht="10.5" customHeight="1" x14ac:dyDescent="0.25">
      <c r="A453" s="131"/>
      <c r="B453" s="131" t="s">
        <v>132</v>
      </c>
      <c r="C453" s="136">
        <f>H63</f>
        <v>10990700</v>
      </c>
      <c r="D453" s="131"/>
      <c r="E453" s="131"/>
    </row>
    <row r="454" spans="1:5" ht="10.5" customHeight="1" x14ac:dyDescent="0.25">
      <c r="A454" s="131"/>
      <c r="B454" s="131" t="s">
        <v>133</v>
      </c>
      <c r="C454" s="136">
        <f>H68</f>
        <v>11800000</v>
      </c>
      <c r="D454" s="131"/>
      <c r="E454" s="131"/>
    </row>
    <row r="455" spans="1:5" ht="10.5" customHeight="1" x14ac:dyDescent="0.25">
      <c r="A455" s="131"/>
      <c r="B455" s="131" t="s">
        <v>113</v>
      </c>
      <c r="C455" s="136">
        <f>H64</f>
        <v>0</v>
      </c>
      <c r="D455" s="131"/>
      <c r="E455" s="131"/>
    </row>
    <row r="456" spans="1:5" ht="10.5" customHeight="1" x14ac:dyDescent="0.25">
      <c r="A456" s="131"/>
      <c r="B456" s="131" t="s">
        <v>134</v>
      </c>
      <c r="C456" s="136">
        <f>SUM(C452:C455)</f>
        <v>87926183.368421063</v>
      </c>
      <c r="D456" s="135" t="s">
        <v>135</v>
      </c>
      <c r="E456" s="136">
        <f>C456/C437</f>
        <v>365781.54755648982</v>
      </c>
    </row>
    <row r="457" spans="1:5" ht="10.5" customHeight="1" x14ac:dyDescent="0.25">
      <c r="A457" s="131"/>
      <c r="B457" s="131"/>
      <c r="C457" s="131"/>
      <c r="D457" s="131"/>
      <c r="E457" s="131"/>
    </row>
    <row r="458" spans="1:5" ht="10.5" customHeight="1" x14ac:dyDescent="0.25">
      <c r="A458" s="131"/>
      <c r="B458" s="133" t="s">
        <v>136</v>
      </c>
      <c r="C458" s="137">
        <f>C449/C456</f>
        <v>6.0840223971653E-2</v>
      </c>
      <c r="D458" s="131"/>
      <c r="E458" s="131"/>
    </row>
    <row r="459" spans="1:5" ht="10.5" customHeight="1" x14ac:dyDescent="0.25">
      <c r="A459" s="131"/>
      <c r="B459" s="131"/>
      <c r="C459" s="131"/>
      <c r="D459" s="131"/>
      <c r="E459" s="131"/>
    </row>
    <row r="460" spans="1:5" ht="10.5" hidden="1" customHeight="1" x14ac:dyDescent="0.25">
      <c r="A460" s="131"/>
      <c r="B460" s="131"/>
      <c r="C460" s="131"/>
      <c r="D460" s="131"/>
      <c r="E460" s="131"/>
    </row>
    <row r="461" spans="1:5" ht="10.5" hidden="1" customHeight="1" x14ac:dyDescent="0.25">
      <c r="A461" s="131"/>
      <c r="B461" s="131"/>
      <c r="C461" s="131"/>
      <c r="D461" s="131"/>
      <c r="E461" s="131"/>
    </row>
    <row r="462" spans="1:5" ht="10.5" hidden="1" customHeight="1" x14ac:dyDescent="0.25">
      <c r="A462" s="131"/>
      <c r="B462" s="131"/>
      <c r="C462" s="131"/>
      <c r="D462" s="131"/>
      <c r="E462" s="131"/>
    </row>
    <row r="463" spans="1:5" ht="10.5" hidden="1" customHeight="1" x14ac:dyDescent="0.25">
      <c r="A463" s="131"/>
      <c r="B463" s="131"/>
      <c r="C463" s="131"/>
      <c r="D463" s="131"/>
      <c r="E463" s="131"/>
    </row>
    <row r="464" spans="1:5" ht="10.5" hidden="1" customHeight="1" x14ac:dyDescent="0.25">
      <c r="A464" s="131"/>
      <c r="B464" s="131"/>
      <c r="C464" s="131"/>
      <c r="D464" s="131"/>
      <c r="E464" s="131"/>
    </row>
    <row r="465" spans="1:5" ht="10.5" hidden="1" customHeight="1" x14ac:dyDescent="0.25">
      <c r="A465" s="131"/>
      <c r="B465" s="131"/>
      <c r="C465" s="131"/>
      <c r="D465" s="131"/>
      <c r="E465" s="131"/>
    </row>
    <row r="466" spans="1:5" ht="10.5" hidden="1" customHeight="1" x14ac:dyDescent="0.25">
      <c r="A466" s="131"/>
      <c r="B466" s="131"/>
      <c r="C466" s="131"/>
      <c r="D466" s="131"/>
      <c r="E466" s="131"/>
    </row>
    <row r="467" spans="1:5" ht="10.5" hidden="1" customHeight="1" x14ac:dyDescent="0.25">
      <c r="A467" s="131"/>
      <c r="B467" s="131"/>
      <c r="C467" s="131"/>
      <c r="D467" s="131"/>
      <c r="E467" s="131"/>
    </row>
    <row r="468" spans="1:5" ht="10.5" hidden="1" customHeight="1" x14ac:dyDescent="0.25">
      <c r="A468" s="131"/>
      <c r="B468" s="131"/>
      <c r="C468" s="131"/>
      <c r="D468" s="131"/>
      <c r="E468" s="131"/>
    </row>
    <row r="469" spans="1:5" ht="10.5" hidden="1" customHeight="1" x14ac:dyDescent="0.25">
      <c r="A469" s="131"/>
      <c r="B469" s="131"/>
      <c r="C469" s="131"/>
      <c r="D469" s="131"/>
      <c r="E469" s="131"/>
    </row>
    <row r="470" spans="1:5" ht="10.5" hidden="1" customHeight="1" x14ac:dyDescent="0.25">
      <c r="A470" s="131"/>
      <c r="B470" s="131"/>
      <c r="C470" s="131"/>
      <c r="D470" s="131"/>
      <c r="E470" s="131"/>
    </row>
    <row r="471" spans="1:5" ht="10.5" hidden="1" customHeight="1" x14ac:dyDescent="0.25">
      <c r="A471" s="131"/>
      <c r="B471" s="131"/>
      <c r="C471" s="131"/>
      <c r="D471" s="131"/>
      <c r="E471" s="131"/>
    </row>
    <row r="472" spans="1:5" ht="10.5" hidden="1" customHeight="1" x14ac:dyDescent="0.25">
      <c r="A472" s="131"/>
      <c r="B472" s="131"/>
      <c r="C472" s="131"/>
      <c r="D472" s="131"/>
      <c r="E472" s="131"/>
    </row>
    <row r="473" spans="1:5" ht="10.5" hidden="1" customHeight="1" x14ac:dyDescent="0.25">
      <c r="A473" s="131"/>
      <c r="B473" s="131"/>
      <c r="C473" s="131"/>
      <c r="D473" s="131"/>
      <c r="E473" s="131"/>
    </row>
    <row r="474" spans="1:5" ht="10.5" hidden="1" customHeight="1" x14ac:dyDescent="0.25">
      <c r="A474" s="131"/>
      <c r="B474" s="131"/>
      <c r="C474" s="131"/>
      <c r="D474" s="131"/>
      <c r="E474" s="131"/>
    </row>
    <row r="475" spans="1:5" ht="10.5" hidden="1" customHeight="1" x14ac:dyDescent="0.25">
      <c r="A475" s="131"/>
      <c r="B475" s="131"/>
      <c r="C475" s="131"/>
      <c r="D475" s="131"/>
      <c r="E475" s="131"/>
    </row>
    <row r="476" spans="1:5" ht="10.5" hidden="1" customHeight="1" x14ac:dyDescent="0.25">
      <c r="A476" s="131"/>
      <c r="B476" s="131"/>
      <c r="C476" s="131"/>
      <c r="D476" s="131"/>
      <c r="E476" s="131"/>
    </row>
    <row r="477" spans="1:5" ht="10.5" hidden="1" customHeight="1" x14ac:dyDescent="0.25">
      <c r="A477" s="131"/>
      <c r="B477" s="131"/>
      <c r="C477" s="131"/>
      <c r="D477" s="131"/>
      <c r="E477" s="131"/>
    </row>
    <row r="478" spans="1:5" ht="10.5" hidden="1" customHeight="1" x14ac:dyDescent="0.25">
      <c r="A478" s="131"/>
      <c r="B478" s="131"/>
      <c r="C478" s="131"/>
      <c r="D478" s="131"/>
      <c r="E478" s="131"/>
    </row>
    <row r="479" spans="1:5" ht="10.5" hidden="1" customHeight="1" x14ac:dyDescent="0.25">
      <c r="A479" s="131"/>
      <c r="B479" s="131"/>
      <c r="C479" s="131"/>
      <c r="D479" s="131"/>
      <c r="E479" s="131"/>
    </row>
    <row r="480" spans="1:5" ht="10.5" hidden="1" customHeight="1" x14ac:dyDescent="0.25">
      <c r="A480" s="131"/>
      <c r="B480" s="131"/>
      <c r="C480" s="131"/>
      <c r="D480" s="131"/>
      <c r="E480" s="131"/>
    </row>
    <row r="481" spans="1:5" ht="10.5" hidden="1" customHeight="1" x14ac:dyDescent="0.25">
      <c r="A481" s="131"/>
      <c r="B481" s="131"/>
      <c r="C481" s="131"/>
      <c r="D481" s="131"/>
      <c r="E481" s="131"/>
    </row>
    <row r="482" spans="1:5" ht="10.5" hidden="1" customHeight="1" x14ac:dyDescent="0.25">
      <c r="A482" s="131"/>
      <c r="B482" s="131"/>
      <c r="C482" s="131"/>
      <c r="D482" s="131"/>
      <c r="E482" s="131"/>
    </row>
    <row r="483" spans="1:5" ht="10.5" hidden="1" customHeight="1" x14ac:dyDescent="0.25">
      <c r="A483" s="131"/>
      <c r="B483" s="131"/>
      <c r="C483" s="131"/>
      <c r="D483" s="131"/>
      <c r="E483" s="131"/>
    </row>
    <row r="484" spans="1:5" ht="10.5" hidden="1" customHeight="1" x14ac:dyDescent="0.25">
      <c r="A484" s="131"/>
      <c r="B484" s="131"/>
      <c r="C484" s="131"/>
      <c r="D484" s="131"/>
      <c r="E484" s="131"/>
    </row>
    <row r="485" spans="1:5" ht="10.5" hidden="1" customHeight="1" x14ac:dyDescent="0.25">
      <c r="A485" s="131"/>
      <c r="B485" s="131"/>
      <c r="C485" s="131"/>
      <c r="D485" s="131"/>
      <c r="E485" s="131"/>
    </row>
    <row r="486" spans="1:5" ht="10.5" hidden="1" customHeight="1" x14ac:dyDescent="0.25">
      <c r="A486" s="131"/>
      <c r="B486" s="131"/>
      <c r="C486" s="131"/>
      <c r="D486" s="131"/>
      <c r="E486" s="131"/>
    </row>
    <row r="487" spans="1:5" ht="10.5" hidden="1" customHeight="1" x14ac:dyDescent="0.25">
      <c r="A487" s="131"/>
      <c r="B487" s="131"/>
      <c r="C487" s="131"/>
      <c r="D487" s="131"/>
      <c r="E487" s="131"/>
    </row>
    <row r="488" spans="1:5" ht="10.5" hidden="1" customHeight="1" x14ac:dyDescent="0.25">
      <c r="A488" s="131"/>
      <c r="B488" s="131"/>
      <c r="C488" s="131"/>
      <c r="D488" s="131"/>
      <c r="E488" s="131"/>
    </row>
    <row r="489" spans="1:5" ht="10.5" hidden="1" customHeight="1" x14ac:dyDescent="0.25">
      <c r="A489" s="131"/>
      <c r="B489" s="131"/>
      <c r="C489" s="131"/>
      <c r="D489" s="131"/>
      <c r="E489" s="131"/>
    </row>
    <row r="490" spans="1:5" ht="10.5" hidden="1" customHeight="1" x14ac:dyDescent="0.25">
      <c r="A490" s="131"/>
      <c r="B490" s="131"/>
      <c r="C490" s="131"/>
      <c r="D490" s="131"/>
      <c r="E490" s="131"/>
    </row>
    <row r="491" spans="1:5" ht="10.5" hidden="1" customHeight="1" x14ac:dyDescent="0.25">
      <c r="A491" s="131"/>
      <c r="B491" s="131"/>
      <c r="C491" s="131"/>
      <c r="D491" s="131"/>
      <c r="E491" s="131"/>
    </row>
    <row r="492" spans="1:5" ht="10.5" hidden="1" customHeight="1" x14ac:dyDescent="0.25">
      <c r="A492" s="131"/>
      <c r="B492" s="131"/>
      <c r="C492" s="131"/>
      <c r="D492" s="131"/>
      <c r="E492" s="131"/>
    </row>
    <row r="493" spans="1:5" ht="10.5" hidden="1" customHeight="1" x14ac:dyDescent="0.25">
      <c r="A493" s="131"/>
      <c r="B493" s="131"/>
      <c r="C493" s="131"/>
      <c r="D493" s="131"/>
      <c r="E493" s="131"/>
    </row>
    <row r="494" spans="1:5" ht="10.5" hidden="1" customHeight="1" x14ac:dyDescent="0.25">
      <c r="A494" s="131"/>
      <c r="B494" s="131"/>
      <c r="C494" s="131"/>
      <c r="D494" s="131"/>
      <c r="E494" s="131"/>
    </row>
    <row r="495" spans="1:5" ht="10.5" hidden="1" customHeight="1" x14ac:dyDescent="0.25">
      <c r="A495" s="131"/>
      <c r="B495" s="131"/>
      <c r="C495" s="131"/>
      <c r="D495" s="131"/>
      <c r="E495" s="131"/>
    </row>
    <row r="496" spans="1:5" ht="10.5" hidden="1" customHeight="1" x14ac:dyDescent="0.25">
      <c r="A496" s="131"/>
      <c r="B496" s="131"/>
      <c r="C496" s="131"/>
      <c r="D496" s="131"/>
      <c r="E496" s="131"/>
    </row>
    <row r="497" spans="1:8" ht="10.5" hidden="1" customHeight="1" x14ac:dyDescent="0.25">
      <c r="A497" s="131"/>
      <c r="B497" s="131"/>
      <c r="C497" s="131"/>
      <c r="D497" s="131"/>
      <c r="E497" s="131"/>
    </row>
    <row r="498" spans="1:8" ht="10.5" hidden="1" customHeight="1" x14ac:dyDescent="0.25">
      <c r="A498" s="131"/>
      <c r="B498" s="131"/>
      <c r="C498" s="131"/>
      <c r="D498" s="131"/>
      <c r="E498" s="131"/>
      <c r="F498" s="1"/>
      <c r="G498" s="1"/>
      <c r="H498" s="2"/>
    </row>
    <row r="499" spans="1:8" ht="10.5" hidden="1" customHeight="1" x14ac:dyDescent="0.25">
      <c r="A499" s="131"/>
      <c r="B499" s="131"/>
      <c r="C499" s="131"/>
      <c r="D499" s="131"/>
      <c r="E499" s="131"/>
      <c r="F499" s="1"/>
      <c r="G499" s="1"/>
      <c r="H499" s="2"/>
    </row>
    <row r="500" spans="1:8" ht="10.5" hidden="1" customHeight="1" x14ac:dyDescent="0.25">
      <c r="A500" s="131"/>
      <c r="B500" s="131"/>
      <c r="C500" s="131"/>
      <c r="D500" s="131"/>
      <c r="E500" s="131"/>
      <c r="F500" s="1"/>
      <c r="G500" s="1"/>
      <c r="H500" s="2"/>
    </row>
    <row r="501" spans="1:8" ht="10.5" hidden="1" customHeight="1" x14ac:dyDescent="0.25">
      <c r="A501" s="131"/>
      <c r="B501" s="131"/>
      <c r="C501" s="131"/>
      <c r="D501" s="131"/>
      <c r="E501" s="131"/>
      <c r="F501" s="1"/>
      <c r="G501" s="1"/>
      <c r="H501" s="2"/>
    </row>
    <row r="502" spans="1:8" ht="10.5" hidden="1" customHeight="1" x14ac:dyDescent="0.25">
      <c r="A502" s="131"/>
      <c r="B502" s="133"/>
      <c r="C502" s="138"/>
      <c r="D502" s="131"/>
      <c r="E502" s="131"/>
      <c r="F502" s="1"/>
      <c r="G502" s="1"/>
      <c r="H502" s="2"/>
    </row>
    <row r="503" spans="1:8" s="129" customFormat="1" ht="12.95" customHeight="1" x14ac:dyDescent="0.25">
      <c r="A503" s="126"/>
      <c r="B503" s="127" t="s">
        <v>114</v>
      </c>
      <c r="C503" s="128" t="str">
        <f>A79</f>
        <v>Base IDP 2.0 FAR</v>
      </c>
      <c r="D503" s="126"/>
      <c r="E503" s="126"/>
      <c r="H503" s="130"/>
    </row>
    <row r="504" spans="1:8" ht="10.5" customHeight="1" x14ac:dyDescent="0.25">
      <c r="A504" s="131"/>
      <c r="B504" s="131" t="s">
        <v>115</v>
      </c>
      <c r="C504" s="132">
        <f>H79</f>
        <v>93255</v>
      </c>
      <c r="D504" s="131"/>
      <c r="E504" s="131"/>
      <c r="F504" s="1"/>
      <c r="G504" s="1"/>
      <c r="H504" s="2"/>
    </row>
    <row r="505" spans="1:8" ht="10.5" customHeight="1" x14ac:dyDescent="0.25">
      <c r="A505" s="131"/>
      <c r="B505" s="131" t="s">
        <v>116</v>
      </c>
      <c r="C505" s="132">
        <f>H81</f>
        <v>181135</v>
      </c>
      <c r="D505" s="131"/>
      <c r="E505" s="131"/>
      <c r="F505" s="1"/>
      <c r="G505" s="1"/>
      <c r="H505" s="2"/>
    </row>
    <row r="506" spans="1:8" ht="10.5" customHeight="1" x14ac:dyDescent="0.25">
      <c r="A506" s="131"/>
      <c r="B506" s="131" t="s">
        <v>117</v>
      </c>
      <c r="C506" s="132">
        <f>G82</f>
        <v>950</v>
      </c>
      <c r="D506" s="131"/>
      <c r="E506" s="131"/>
      <c r="F506" s="1"/>
      <c r="G506" s="1"/>
      <c r="H506" s="2"/>
    </row>
    <row r="507" spans="1:8" ht="10.5" customHeight="1" x14ac:dyDescent="0.25">
      <c r="A507" s="131"/>
      <c r="B507" s="131" t="s">
        <v>107</v>
      </c>
      <c r="C507" s="132">
        <f>H82</f>
        <v>190.66842105263157</v>
      </c>
      <c r="D507" s="131"/>
      <c r="E507" s="131"/>
      <c r="F507" s="1"/>
      <c r="G507" s="1"/>
      <c r="H507" s="2"/>
    </row>
    <row r="508" spans="1:8" ht="10.5" customHeight="1" x14ac:dyDescent="0.25">
      <c r="A508" s="131"/>
      <c r="B508" s="131" t="s">
        <v>118</v>
      </c>
      <c r="C508" s="132">
        <f>H84</f>
        <v>25</v>
      </c>
      <c r="D508" s="131"/>
      <c r="E508" s="131"/>
      <c r="F508" s="1"/>
      <c r="G508" s="1"/>
      <c r="H508" s="2"/>
    </row>
    <row r="509" spans="1:8" ht="10.5" customHeight="1" x14ac:dyDescent="0.25">
      <c r="A509" s="131"/>
      <c r="B509" s="131" t="s">
        <v>119</v>
      </c>
      <c r="C509" s="132">
        <f>H85</f>
        <v>0</v>
      </c>
      <c r="D509" s="131"/>
      <c r="E509" s="131"/>
      <c r="F509" s="1"/>
      <c r="G509" s="1"/>
      <c r="H509" s="2"/>
    </row>
    <row r="510" spans="1:8" ht="10.5" customHeight="1" x14ac:dyDescent="0.25">
      <c r="A510" s="131"/>
      <c r="B510" s="131" t="s">
        <v>120</v>
      </c>
      <c r="C510" s="132">
        <f>H89</f>
        <v>0</v>
      </c>
      <c r="D510" s="131"/>
      <c r="E510" s="131"/>
      <c r="F510" s="1"/>
      <c r="G510" s="1"/>
      <c r="H510" s="2"/>
    </row>
    <row r="511" spans="1:8" ht="10.5" customHeight="1" x14ac:dyDescent="0.25">
      <c r="A511" s="131"/>
      <c r="B511" s="131"/>
      <c r="C511" s="132"/>
      <c r="D511" s="131"/>
      <c r="E511" s="131"/>
      <c r="F511" s="1"/>
      <c r="G511" s="1"/>
      <c r="H511" s="2"/>
    </row>
    <row r="512" spans="1:8" ht="10.5" customHeight="1" x14ac:dyDescent="0.25">
      <c r="A512" s="131"/>
      <c r="B512" s="133" t="s">
        <v>121</v>
      </c>
      <c r="C512" s="132"/>
      <c r="D512" s="131"/>
      <c r="E512" s="131"/>
      <c r="F512" s="1"/>
      <c r="G512" s="1"/>
      <c r="H512" s="2"/>
    </row>
    <row r="513" spans="1:8" ht="10.5" customHeight="1" x14ac:dyDescent="0.25">
      <c r="A513" s="131"/>
      <c r="B513" s="131" t="s">
        <v>122</v>
      </c>
      <c r="C513" s="134">
        <f>H98</f>
        <v>329478</v>
      </c>
      <c r="D513" s="135" t="s">
        <v>123</v>
      </c>
      <c r="E513" s="134">
        <v>1098.26</v>
      </c>
      <c r="F513" s="1"/>
      <c r="G513" s="1"/>
      <c r="H513" s="2"/>
    </row>
    <row r="514" spans="1:8" ht="10.5" customHeight="1" x14ac:dyDescent="0.25">
      <c r="A514" s="131"/>
      <c r="B514" s="131" t="s">
        <v>124</v>
      </c>
      <c r="C514" s="134">
        <f>H99</f>
        <v>0</v>
      </c>
      <c r="D514" s="135" t="s">
        <v>123</v>
      </c>
      <c r="E514" s="134">
        <v>784.93925925925919</v>
      </c>
    </row>
    <row r="515" spans="1:8" ht="10.5" customHeight="1" x14ac:dyDescent="0.25">
      <c r="A515" s="131"/>
      <c r="B515" s="131" t="s">
        <v>125</v>
      </c>
      <c r="C515" s="136">
        <f>H97</f>
        <v>5889348</v>
      </c>
      <c r="D515" s="135" t="s">
        <v>123</v>
      </c>
      <c r="E515" s="134">
        <v>2956.5</v>
      </c>
    </row>
    <row r="516" spans="1:8" ht="10.5" customHeight="1" x14ac:dyDescent="0.25">
      <c r="A516" s="131"/>
      <c r="B516" s="131" t="s">
        <v>126</v>
      </c>
      <c r="C516" s="136">
        <f>H102</f>
        <v>429003.94736842095</v>
      </c>
      <c r="D516" s="135"/>
      <c r="E516" s="134"/>
    </row>
    <row r="517" spans="1:8" ht="10.5" customHeight="1" x14ac:dyDescent="0.25">
      <c r="A517" s="131"/>
      <c r="B517" s="131" t="s">
        <v>127</v>
      </c>
      <c r="C517" s="136">
        <f>H111</f>
        <v>-294467.40000000002</v>
      </c>
      <c r="D517" s="135"/>
      <c r="E517" s="134"/>
    </row>
    <row r="518" spans="1:8" ht="10.5" customHeight="1" x14ac:dyDescent="0.25">
      <c r="A518" s="131"/>
      <c r="B518" s="131" t="s">
        <v>128</v>
      </c>
      <c r="C518" s="136">
        <f>H121</f>
        <v>-2100914.320723684</v>
      </c>
      <c r="D518" s="131"/>
      <c r="E518" s="131"/>
    </row>
    <row r="519" spans="1:8" ht="10.5" customHeight="1" x14ac:dyDescent="0.25">
      <c r="A519" s="131"/>
      <c r="B519" s="131" t="s">
        <v>129</v>
      </c>
      <c r="C519" s="134">
        <f>SUM(C513:C518)</f>
        <v>4252448.2266447358</v>
      </c>
      <c r="D519" s="131"/>
      <c r="E519" s="131"/>
    </row>
    <row r="520" spans="1:8" ht="10.5" customHeight="1" x14ac:dyDescent="0.25">
      <c r="A520" s="131"/>
      <c r="B520" s="131"/>
      <c r="C520" s="131"/>
      <c r="D520" s="131"/>
      <c r="E520" s="131"/>
    </row>
    <row r="521" spans="1:8" ht="10.5" customHeight="1" x14ac:dyDescent="0.25">
      <c r="A521" s="131"/>
      <c r="B521" s="133" t="s">
        <v>130</v>
      </c>
      <c r="C521" s="131"/>
      <c r="D521" s="131"/>
      <c r="E521" s="131"/>
    </row>
    <row r="522" spans="1:8" ht="10.5" customHeight="1" x14ac:dyDescent="0.25">
      <c r="A522" s="131"/>
      <c r="B522" s="131" t="s">
        <v>131</v>
      </c>
      <c r="C522" s="136">
        <f>H135+H137</f>
        <v>51665422.052631587</v>
      </c>
      <c r="D522" s="131"/>
      <c r="E522" s="131"/>
    </row>
    <row r="523" spans="1:8" ht="10.5" customHeight="1" x14ac:dyDescent="0.25">
      <c r="A523" s="131"/>
      <c r="B523" s="131" t="s">
        <v>132</v>
      </c>
      <c r="C523" s="136">
        <f>H133</f>
        <v>6527850</v>
      </c>
      <c r="D523" s="131"/>
      <c r="E523" s="131"/>
    </row>
    <row r="524" spans="1:8" ht="10.5" customHeight="1" x14ac:dyDescent="0.25">
      <c r="A524" s="131"/>
      <c r="B524" s="131" t="s">
        <v>133</v>
      </c>
      <c r="C524" s="136">
        <f>H138</f>
        <v>9300000</v>
      </c>
      <c r="D524" s="131"/>
      <c r="E524" s="131"/>
    </row>
    <row r="525" spans="1:8" ht="10.5" customHeight="1" x14ac:dyDescent="0.25">
      <c r="A525" s="131"/>
      <c r="B525" s="131" t="s">
        <v>113</v>
      </c>
      <c r="C525" s="136">
        <f>H134</f>
        <v>0</v>
      </c>
      <c r="D525" s="131"/>
      <c r="E525" s="131"/>
    </row>
    <row r="526" spans="1:8" ht="10.5" customHeight="1" x14ac:dyDescent="0.25">
      <c r="A526" s="131"/>
      <c r="B526" s="131" t="s">
        <v>134</v>
      </c>
      <c r="C526" s="136">
        <f>SUM(C522:C525)</f>
        <v>67493272.052631587</v>
      </c>
      <c r="D526" s="135" t="s">
        <v>135</v>
      </c>
      <c r="E526" s="136">
        <f>C526/C507</f>
        <v>353982.43547630229</v>
      </c>
    </row>
    <row r="527" spans="1:8" ht="10.5" customHeight="1" x14ac:dyDescent="0.25">
      <c r="A527" s="131"/>
      <c r="B527" s="131"/>
      <c r="C527" s="131"/>
      <c r="D527" s="131"/>
      <c r="E527" s="131"/>
    </row>
    <row r="528" spans="1:8" ht="10.5" customHeight="1" x14ac:dyDescent="0.25">
      <c r="A528" s="131"/>
      <c r="B528" s="133" t="s">
        <v>136</v>
      </c>
      <c r="C528" s="137">
        <f>C519/C526</f>
        <v>6.3005512954367598E-2</v>
      </c>
      <c r="D528" s="131"/>
      <c r="E528" s="131"/>
    </row>
    <row r="529" spans="1:5" ht="10.5" customHeight="1" x14ac:dyDescent="0.25">
      <c r="A529" s="131"/>
      <c r="B529" s="131"/>
      <c r="C529" s="131"/>
      <c r="D529" s="131"/>
      <c r="E529" s="131"/>
    </row>
    <row r="530" spans="1:5" ht="10.5" hidden="1" customHeight="1" x14ac:dyDescent="0.25">
      <c r="A530" s="131"/>
      <c r="B530" s="131"/>
      <c r="C530" s="131"/>
      <c r="D530" s="131"/>
      <c r="E530" s="131"/>
    </row>
    <row r="531" spans="1:5" ht="10.5" hidden="1" customHeight="1" x14ac:dyDescent="0.25">
      <c r="A531" s="131"/>
      <c r="B531" s="131"/>
      <c r="C531" s="131"/>
      <c r="D531" s="131"/>
      <c r="E531" s="131"/>
    </row>
    <row r="532" spans="1:5" ht="10.5" hidden="1" customHeight="1" x14ac:dyDescent="0.25">
      <c r="A532" s="131"/>
      <c r="B532" s="131"/>
      <c r="C532" s="131"/>
      <c r="D532" s="131"/>
      <c r="E532" s="131"/>
    </row>
    <row r="533" spans="1:5" ht="10.5" hidden="1" customHeight="1" x14ac:dyDescent="0.25">
      <c r="A533" s="131"/>
      <c r="B533" s="131"/>
      <c r="C533" s="131"/>
      <c r="D533" s="131"/>
      <c r="E533" s="131"/>
    </row>
    <row r="534" spans="1:5" ht="10.5" hidden="1" customHeight="1" x14ac:dyDescent="0.25">
      <c r="A534" s="131"/>
      <c r="B534" s="131"/>
      <c r="C534" s="131"/>
      <c r="D534" s="131"/>
      <c r="E534" s="131"/>
    </row>
    <row r="535" spans="1:5" ht="10.5" hidden="1" customHeight="1" x14ac:dyDescent="0.25">
      <c r="A535" s="131"/>
      <c r="B535" s="131"/>
      <c r="C535" s="131"/>
      <c r="D535" s="131"/>
      <c r="E535" s="131"/>
    </row>
    <row r="536" spans="1:5" ht="10.5" hidden="1" customHeight="1" x14ac:dyDescent="0.25">
      <c r="A536" s="131"/>
      <c r="B536" s="131"/>
      <c r="C536" s="131"/>
      <c r="D536" s="131"/>
      <c r="E536" s="131"/>
    </row>
    <row r="537" spans="1:5" ht="10.5" hidden="1" customHeight="1" x14ac:dyDescent="0.25">
      <c r="A537" s="131"/>
      <c r="B537" s="131"/>
      <c r="C537" s="131"/>
      <c r="D537" s="131"/>
      <c r="E537" s="131"/>
    </row>
    <row r="538" spans="1:5" ht="10.5" hidden="1" customHeight="1" x14ac:dyDescent="0.25">
      <c r="A538" s="131"/>
      <c r="B538" s="131"/>
      <c r="C538" s="131"/>
      <c r="D538" s="131"/>
      <c r="E538" s="131"/>
    </row>
    <row r="539" spans="1:5" ht="10.5" hidden="1" customHeight="1" x14ac:dyDescent="0.25">
      <c r="A539" s="131"/>
      <c r="B539" s="131"/>
      <c r="C539" s="131"/>
      <c r="D539" s="131"/>
      <c r="E539" s="131"/>
    </row>
    <row r="540" spans="1:5" ht="10.5" hidden="1" customHeight="1" x14ac:dyDescent="0.25">
      <c r="A540" s="131"/>
      <c r="B540" s="131"/>
      <c r="C540" s="131"/>
      <c r="D540" s="131"/>
      <c r="E540" s="131"/>
    </row>
    <row r="541" spans="1:5" ht="10.5" hidden="1" customHeight="1" x14ac:dyDescent="0.25">
      <c r="A541" s="131"/>
      <c r="B541" s="131"/>
      <c r="C541" s="131"/>
      <c r="D541" s="131"/>
      <c r="E541" s="131"/>
    </row>
    <row r="542" spans="1:5" ht="10.5" hidden="1" customHeight="1" x14ac:dyDescent="0.25">
      <c r="A542" s="131"/>
      <c r="B542" s="131"/>
      <c r="C542" s="131"/>
      <c r="D542" s="131"/>
      <c r="E542" s="131"/>
    </row>
    <row r="543" spans="1:5" ht="10.5" hidden="1" customHeight="1" x14ac:dyDescent="0.25">
      <c r="A543" s="131"/>
      <c r="B543" s="131"/>
      <c r="C543" s="131"/>
      <c r="D543" s="131"/>
      <c r="E543" s="131"/>
    </row>
    <row r="544" spans="1:5" ht="10.5" hidden="1" customHeight="1" x14ac:dyDescent="0.25">
      <c r="A544" s="131"/>
      <c r="B544" s="131"/>
      <c r="C544" s="131"/>
      <c r="D544" s="131"/>
      <c r="E544" s="131"/>
    </row>
    <row r="545" spans="1:5" ht="10.5" hidden="1" customHeight="1" x14ac:dyDescent="0.25">
      <c r="A545" s="131"/>
      <c r="B545" s="131"/>
      <c r="C545" s="131"/>
      <c r="D545" s="131"/>
      <c r="E545" s="131"/>
    </row>
    <row r="546" spans="1:5" ht="10.5" hidden="1" customHeight="1" x14ac:dyDescent="0.25">
      <c r="A546" s="131"/>
      <c r="B546" s="131"/>
      <c r="C546" s="131"/>
      <c r="D546" s="131"/>
      <c r="E546" s="131"/>
    </row>
    <row r="547" spans="1:5" ht="10.5" hidden="1" customHeight="1" x14ac:dyDescent="0.25">
      <c r="A547" s="131"/>
      <c r="B547" s="131"/>
      <c r="C547" s="131"/>
      <c r="D547" s="131"/>
      <c r="E547" s="131"/>
    </row>
    <row r="548" spans="1:5" ht="10.5" hidden="1" customHeight="1" x14ac:dyDescent="0.25">
      <c r="A548" s="131"/>
      <c r="B548" s="131"/>
      <c r="C548" s="131"/>
      <c r="D548" s="131"/>
      <c r="E548" s="131"/>
    </row>
    <row r="549" spans="1:5" ht="10.5" hidden="1" customHeight="1" x14ac:dyDescent="0.25">
      <c r="A549" s="131"/>
      <c r="B549" s="131"/>
      <c r="C549" s="131"/>
      <c r="D549" s="131"/>
      <c r="E549" s="131"/>
    </row>
    <row r="550" spans="1:5" ht="10.5" hidden="1" customHeight="1" x14ac:dyDescent="0.25">
      <c r="A550" s="131"/>
      <c r="B550" s="131"/>
      <c r="C550" s="131"/>
      <c r="D550" s="131"/>
      <c r="E550" s="131"/>
    </row>
    <row r="551" spans="1:5" ht="10.5" hidden="1" customHeight="1" x14ac:dyDescent="0.25">
      <c r="A551" s="131"/>
      <c r="B551" s="131"/>
      <c r="C551" s="131"/>
      <c r="D551" s="131"/>
      <c r="E551" s="131"/>
    </row>
    <row r="552" spans="1:5" ht="10.5" hidden="1" customHeight="1" x14ac:dyDescent="0.25">
      <c r="A552" s="131"/>
      <c r="B552" s="131"/>
      <c r="C552" s="131"/>
      <c r="D552" s="131"/>
      <c r="E552" s="131"/>
    </row>
    <row r="553" spans="1:5" ht="10.5" hidden="1" customHeight="1" x14ac:dyDescent="0.25">
      <c r="A553" s="131"/>
      <c r="B553" s="131"/>
      <c r="C553" s="131"/>
      <c r="D553" s="131"/>
      <c r="E553" s="131"/>
    </row>
    <row r="554" spans="1:5" ht="10.5" hidden="1" customHeight="1" x14ac:dyDescent="0.25">
      <c r="A554" s="131"/>
      <c r="B554" s="131"/>
      <c r="C554" s="131"/>
      <c r="D554" s="131"/>
      <c r="E554" s="131"/>
    </row>
    <row r="555" spans="1:5" ht="10.5" hidden="1" customHeight="1" x14ac:dyDescent="0.25">
      <c r="A555" s="131"/>
      <c r="B555" s="131"/>
      <c r="C555" s="131"/>
      <c r="D555" s="131"/>
      <c r="E555" s="131"/>
    </row>
    <row r="556" spans="1:5" ht="10.5" hidden="1" customHeight="1" x14ac:dyDescent="0.25">
      <c r="A556" s="131"/>
      <c r="B556" s="131"/>
      <c r="C556" s="131"/>
      <c r="D556" s="131"/>
      <c r="E556" s="131"/>
    </row>
    <row r="557" spans="1:5" ht="10.5" hidden="1" customHeight="1" x14ac:dyDescent="0.25">
      <c r="A557" s="131"/>
      <c r="B557" s="131"/>
      <c r="C557" s="131"/>
      <c r="D557" s="131"/>
      <c r="E557" s="131"/>
    </row>
    <row r="558" spans="1:5" ht="10.5" hidden="1" customHeight="1" x14ac:dyDescent="0.25">
      <c r="A558" s="131"/>
      <c r="B558" s="131"/>
      <c r="C558" s="131"/>
      <c r="D558" s="131"/>
      <c r="E558" s="131"/>
    </row>
    <row r="559" spans="1:5" ht="10.5" hidden="1" customHeight="1" x14ac:dyDescent="0.25">
      <c r="A559" s="131"/>
      <c r="B559" s="131"/>
      <c r="C559" s="131"/>
      <c r="D559" s="131"/>
      <c r="E559" s="131"/>
    </row>
    <row r="560" spans="1:5" ht="10.5" hidden="1" customHeight="1" x14ac:dyDescent="0.25">
      <c r="A560" s="131"/>
      <c r="B560" s="131"/>
      <c r="C560" s="131"/>
      <c r="D560" s="131"/>
      <c r="E560" s="131"/>
    </row>
    <row r="561" spans="1:8" ht="10.5" hidden="1" customHeight="1" x14ac:dyDescent="0.25">
      <c r="A561" s="131"/>
      <c r="B561" s="131"/>
      <c r="C561" s="131"/>
      <c r="D561" s="131"/>
      <c r="E561" s="131"/>
    </row>
    <row r="562" spans="1:8" ht="10.5" hidden="1" customHeight="1" x14ac:dyDescent="0.25">
      <c r="A562" s="131"/>
      <c r="B562" s="131"/>
      <c r="C562" s="131"/>
      <c r="D562" s="131"/>
      <c r="E562" s="131"/>
      <c r="F562" s="1"/>
      <c r="G562" s="1"/>
      <c r="H562" s="2"/>
    </row>
    <row r="563" spans="1:8" ht="10.5" hidden="1" customHeight="1" x14ac:dyDescent="0.25">
      <c r="A563" s="131"/>
      <c r="B563" s="131"/>
      <c r="C563" s="131"/>
      <c r="D563" s="131"/>
      <c r="E563" s="131"/>
      <c r="F563" s="1"/>
      <c r="G563" s="1"/>
      <c r="H563" s="2"/>
    </row>
    <row r="564" spans="1:8" ht="10.5" hidden="1" customHeight="1" x14ac:dyDescent="0.25">
      <c r="A564" s="131"/>
      <c r="B564" s="131"/>
      <c r="C564" s="131"/>
      <c r="D564" s="131"/>
      <c r="E564" s="131"/>
      <c r="F564" s="1"/>
      <c r="G564" s="1"/>
      <c r="H564" s="2"/>
    </row>
    <row r="565" spans="1:8" ht="10.5" hidden="1" customHeight="1" x14ac:dyDescent="0.25">
      <c r="A565" s="131"/>
      <c r="B565" s="131"/>
      <c r="C565" s="131"/>
      <c r="D565" s="131"/>
      <c r="E565" s="131"/>
      <c r="F565" s="1"/>
      <c r="G565" s="1"/>
      <c r="H565" s="2"/>
    </row>
    <row r="566" spans="1:8" ht="10.5" hidden="1" customHeight="1" x14ac:dyDescent="0.25">
      <c r="A566" s="131"/>
      <c r="B566" s="131"/>
      <c r="C566" s="131"/>
      <c r="D566" s="131"/>
      <c r="E566" s="131"/>
      <c r="F566" s="1"/>
      <c r="G566" s="1"/>
      <c r="H566" s="2"/>
    </row>
    <row r="567" spans="1:8" ht="10.5" hidden="1" customHeight="1" x14ac:dyDescent="0.25">
      <c r="A567" s="131"/>
      <c r="B567" s="131"/>
      <c r="C567" s="131"/>
      <c r="D567" s="131"/>
      <c r="E567" s="131"/>
      <c r="F567" s="1"/>
      <c r="G567" s="1"/>
      <c r="H567" s="2"/>
    </row>
    <row r="568" spans="1:8" ht="10.5" hidden="1" customHeight="1" x14ac:dyDescent="0.25">
      <c r="A568" s="131"/>
      <c r="B568" s="131"/>
      <c r="C568" s="131"/>
      <c r="D568" s="131"/>
      <c r="E568" s="131"/>
      <c r="F568" s="1"/>
      <c r="G568" s="1"/>
      <c r="H568" s="2"/>
    </row>
    <row r="569" spans="1:8" ht="10.5" hidden="1" customHeight="1" x14ac:dyDescent="0.25">
      <c r="A569" s="131"/>
      <c r="B569" s="131"/>
      <c r="C569" s="131"/>
      <c r="D569" s="131"/>
      <c r="E569" s="131"/>
      <c r="F569" s="1"/>
      <c r="G569" s="1"/>
      <c r="H569" s="2"/>
    </row>
    <row r="570" spans="1:8" ht="10.5" hidden="1" customHeight="1" x14ac:dyDescent="0.25">
      <c r="A570" s="131"/>
      <c r="B570" s="131"/>
      <c r="C570" s="131"/>
      <c r="D570" s="131"/>
      <c r="E570" s="131"/>
      <c r="F570" s="1"/>
      <c r="G570" s="1"/>
      <c r="H570" s="2"/>
    </row>
    <row r="571" spans="1:8" ht="10.5" hidden="1" customHeight="1" x14ac:dyDescent="0.25">
      <c r="A571" s="131"/>
      <c r="B571" s="131"/>
      <c r="C571" s="131"/>
      <c r="D571" s="131"/>
      <c r="E571" s="131"/>
      <c r="F571" s="1"/>
      <c r="G571" s="1"/>
      <c r="H571" s="2"/>
    </row>
    <row r="572" spans="1:8" s="129" customFormat="1" ht="12.95" customHeight="1" x14ac:dyDescent="0.25">
      <c r="A572" s="126"/>
      <c r="B572" s="127" t="s">
        <v>114</v>
      </c>
      <c r="C572" s="128" t="str">
        <f>A148</f>
        <v>Bonus 3.0 FAR</v>
      </c>
      <c r="D572" s="126"/>
      <c r="E572" s="126"/>
      <c r="H572" s="130"/>
    </row>
    <row r="573" spans="1:8" ht="10.5" customHeight="1" x14ac:dyDescent="0.25">
      <c r="A573" s="131"/>
      <c r="B573" s="131" t="s">
        <v>115</v>
      </c>
      <c r="C573" s="132">
        <f>H147</f>
        <v>113559</v>
      </c>
      <c r="D573" s="131"/>
      <c r="E573" s="131"/>
      <c r="F573" s="1"/>
      <c r="G573" s="1"/>
      <c r="H573" s="2"/>
    </row>
    <row r="574" spans="1:8" ht="10.5" customHeight="1" x14ac:dyDescent="0.25">
      <c r="A574" s="131"/>
      <c r="B574" s="131" t="s">
        <v>116</v>
      </c>
      <c r="C574" s="132">
        <f>H149</f>
        <v>334820</v>
      </c>
      <c r="D574" s="131"/>
      <c r="E574" s="131"/>
      <c r="F574" s="1"/>
      <c r="G574" s="1"/>
      <c r="H574" s="2"/>
    </row>
    <row r="575" spans="1:8" ht="10.5" customHeight="1" x14ac:dyDescent="0.25">
      <c r="A575" s="131"/>
      <c r="B575" s="131" t="s">
        <v>117</v>
      </c>
      <c r="C575" s="132">
        <f>G150</f>
        <v>950</v>
      </c>
      <c r="D575" s="131"/>
      <c r="E575" s="131"/>
      <c r="F575" s="1"/>
      <c r="G575" s="1"/>
      <c r="H575" s="2"/>
    </row>
    <row r="576" spans="1:8" ht="10.5" customHeight="1" x14ac:dyDescent="0.25">
      <c r="A576" s="131"/>
      <c r="B576" s="131" t="s">
        <v>107</v>
      </c>
      <c r="C576" s="132">
        <f>H150</f>
        <v>352.44210526315788</v>
      </c>
      <c r="D576" s="131"/>
      <c r="E576" s="131"/>
      <c r="F576" s="1"/>
      <c r="G576" s="1"/>
      <c r="H576" s="2"/>
    </row>
    <row r="577" spans="1:8" ht="10.5" customHeight="1" x14ac:dyDescent="0.25">
      <c r="A577" s="131"/>
      <c r="B577" s="131" t="s">
        <v>118</v>
      </c>
      <c r="C577" s="132">
        <f>H152</f>
        <v>31.079305263157895</v>
      </c>
      <c r="D577" s="131"/>
      <c r="E577" s="131"/>
      <c r="F577" s="1"/>
      <c r="G577" s="1"/>
      <c r="H577" s="2"/>
    </row>
    <row r="578" spans="1:8" ht="10.5" customHeight="1" x14ac:dyDescent="0.25">
      <c r="A578" s="131"/>
      <c r="B578" s="131" t="s">
        <v>119</v>
      </c>
      <c r="C578" s="132">
        <f>H154</f>
        <v>61.689347368421053</v>
      </c>
      <c r="D578" s="131"/>
      <c r="E578" s="131"/>
    </row>
    <row r="579" spans="1:8" ht="10.5" customHeight="1" x14ac:dyDescent="0.25">
      <c r="A579" s="131"/>
      <c r="B579" s="131" t="s">
        <v>120</v>
      </c>
      <c r="C579" s="132">
        <f>H157</f>
        <v>0</v>
      </c>
      <c r="D579" s="131"/>
      <c r="E579" s="131"/>
    </row>
    <row r="580" spans="1:8" ht="10.5" customHeight="1" x14ac:dyDescent="0.25">
      <c r="A580" s="131"/>
      <c r="B580" s="131"/>
      <c r="C580" s="132"/>
      <c r="D580" s="131"/>
      <c r="E580" s="131"/>
    </row>
    <row r="581" spans="1:8" ht="10.5" customHeight="1" x14ac:dyDescent="0.25">
      <c r="A581" s="131"/>
      <c r="B581" s="133" t="s">
        <v>121</v>
      </c>
      <c r="C581" s="132"/>
      <c r="D581" s="131"/>
      <c r="E581" s="131"/>
    </row>
    <row r="582" spans="1:8" ht="10.5" customHeight="1" x14ac:dyDescent="0.25">
      <c r="A582" s="131"/>
      <c r="B582" s="131" t="s">
        <v>122</v>
      </c>
      <c r="C582" s="134">
        <f>H166</f>
        <v>409597.8935797895</v>
      </c>
      <c r="D582" s="135" t="s">
        <v>123</v>
      </c>
      <c r="E582" s="134">
        <v>1098.26</v>
      </c>
    </row>
    <row r="583" spans="1:8" ht="10.5" customHeight="1" x14ac:dyDescent="0.25">
      <c r="A583" s="131"/>
      <c r="B583" s="131" t="s">
        <v>124</v>
      </c>
      <c r="C583" s="134">
        <f>H167</f>
        <v>288324.28531200002</v>
      </c>
      <c r="D583" s="135" t="s">
        <v>123</v>
      </c>
      <c r="E583" s="134">
        <v>784.93925925925919</v>
      </c>
    </row>
    <row r="584" spans="1:8" ht="10.5" customHeight="1" x14ac:dyDescent="0.25">
      <c r="A584" s="131"/>
      <c r="B584" s="131" t="s">
        <v>125</v>
      </c>
      <c r="C584" s="136">
        <f>H165</f>
        <v>10324098</v>
      </c>
      <c r="D584" s="135" t="s">
        <v>123</v>
      </c>
      <c r="E584" s="134">
        <v>2956.5</v>
      </c>
    </row>
    <row r="585" spans="1:8" ht="10.5" customHeight="1" x14ac:dyDescent="0.25">
      <c r="A585" s="131"/>
      <c r="B585" s="131" t="s">
        <v>126</v>
      </c>
      <c r="C585" s="136">
        <f>H170</f>
        <v>792994.73684210528</v>
      </c>
      <c r="D585" s="135"/>
      <c r="E585" s="134"/>
    </row>
    <row r="586" spans="1:8" ht="10.5" customHeight="1" x14ac:dyDescent="0.25">
      <c r="A586" s="131"/>
      <c r="B586" s="131" t="s">
        <v>127</v>
      </c>
      <c r="C586" s="136">
        <f>H179</f>
        <v>-516204.9</v>
      </c>
      <c r="D586" s="135"/>
      <c r="E586" s="134"/>
    </row>
    <row r="587" spans="1:8" ht="10.5" customHeight="1" x14ac:dyDescent="0.25">
      <c r="A587" s="131"/>
      <c r="B587" s="131" t="s">
        <v>128</v>
      </c>
      <c r="C587" s="136">
        <f>H189</f>
        <v>-3812053.562391527</v>
      </c>
      <c r="D587" s="131"/>
      <c r="E587" s="131"/>
    </row>
    <row r="588" spans="1:8" ht="10.5" customHeight="1" x14ac:dyDescent="0.25">
      <c r="A588" s="131"/>
      <c r="B588" s="131" t="s">
        <v>129</v>
      </c>
      <c r="C588" s="134">
        <f>SUM(C582:C587)</f>
        <v>7486756.453342367</v>
      </c>
      <c r="D588" s="131"/>
      <c r="E588" s="131"/>
    </row>
    <row r="589" spans="1:8" ht="10.5" customHeight="1" x14ac:dyDescent="0.25">
      <c r="A589" s="131"/>
      <c r="B589" s="131"/>
      <c r="C589" s="131"/>
      <c r="D589" s="131"/>
      <c r="E589" s="131"/>
    </row>
    <row r="590" spans="1:8" ht="10.5" customHeight="1" x14ac:dyDescent="0.25">
      <c r="A590" s="131"/>
      <c r="B590" s="133" t="s">
        <v>130</v>
      </c>
      <c r="C590" s="131"/>
      <c r="D590" s="131"/>
      <c r="E590" s="131"/>
    </row>
    <row r="591" spans="1:8" ht="10.5" customHeight="1" x14ac:dyDescent="0.25">
      <c r="A591" s="131"/>
      <c r="B591" s="131" t="s">
        <v>131</v>
      </c>
      <c r="C591" s="136">
        <f>H203+H205</f>
        <v>95501237.263157904</v>
      </c>
      <c r="D591" s="131"/>
      <c r="E591" s="131"/>
    </row>
    <row r="592" spans="1:8" ht="10.5" customHeight="1" x14ac:dyDescent="0.25">
      <c r="A592" s="131"/>
      <c r="B592" s="131" t="s">
        <v>132</v>
      </c>
      <c r="C592" s="136">
        <f>H201</f>
        <v>7949130</v>
      </c>
      <c r="D592" s="131"/>
      <c r="E592" s="131"/>
    </row>
    <row r="593" spans="1:5" ht="10.5" customHeight="1" x14ac:dyDescent="0.25">
      <c r="A593" s="131"/>
      <c r="B593" s="131" t="s">
        <v>133</v>
      </c>
      <c r="C593" s="136">
        <f>H206</f>
        <v>17200000</v>
      </c>
      <c r="D593" s="131"/>
      <c r="E593" s="131"/>
    </row>
    <row r="594" spans="1:5" ht="10.5" customHeight="1" x14ac:dyDescent="0.25">
      <c r="A594" s="131"/>
      <c r="B594" s="131" t="s">
        <v>113</v>
      </c>
      <c r="C594" s="136">
        <f>H202</f>
        <v>0</v>
      </c>
      <c r="D594" s="131"/>
      <c r="E594" s="131"/>
    </row>
    <row r="595" spans="1:5" ht="10.5" customHeight="1" x14ac:dyDescent="0.25">
      <c r="A595" s="131"/>
      <c r="B595" s="131" t="s">
        <v>134</v>
      </c>
      <c r="C595" s="136">
        <f>SUM(C591:C594)</f>
        <v>120650367.2631579</v>
      </c>
      <c r="D595" s="135" t="s">
        <v>135</v>
      </c>
      <c r="E595" s="136">
        <f>C595/C576</f>
        <v>342326.76930888242</v>
      </c>
    </row>
    <row r="596" spans="1:5" ht="10.5" customHeight="1" x14ac:dyDescent="0.25">
      <c r="A596" s="131"/>
      <c r="B596" s="131"/>
      <c r="C596" s="131"/>
      <c r="D596" s="131"/>
      <c r="E596" s="131"/>
    </row>
    <row r="597" spans="1:5" ht="10.5" customHeight="1" x14ac:dyDescent="0.25">
      <c r="A597" s="131"/>
      <c r="B597" s="133" t="s">
        <v>136</v>
      </c>
      <c r="C597" s="137">
        <f>C588/C595</f>
        <v>6.205332501817043E-2</v>
      </c>
      <c r="D597" s="131"/>
      <c r="E597" s="131"/>
    </row>
    <row r="598" spans="1:5" ht="10.5" customHeight="1" x14ac:dyDescent="0.25">
      <c r="A598" s="131"/>
      <c r="B598" s="131"/>
      <c r="C598" s="131"/>
      <c r="D598" s="131"/>
      <c r="E598" s="131"/>
    </row>
    <row r="599" spans="1:5" ht="10.5" hidden="1" customHeight="1" x14ac:dyDescent="0.25">
      <c r="A599" s="131"/>
      <c r="B599" s="131"/>
      <c r="C599" s="131"/>
      <c r="D599" s="131"/>
      <c r="E599" s="131"/>
    </row>
    <row r="600" spans="1:5" ht="10.5" hidden="1" customHeight="1" x14ac:dyDescent="0.25">
      <c r="A600" s="131"/>
      <c r="B600" s="131"/>
      <c r="C600" s="131"/>
      <c r="D600" s="131"/>
      <c r="E600" s="131"/>
    </row>
    <row r="601" spans="1:5" ht="10.5" hidden="1" customHeight="1" x14ac:dyDescent="0.25">
      <c r="A601" s="131"/>
      <c r="B601" s="131"/>
      <c r="C601" s="131"/>
      <c r="D601" s="131"/>
      <c r="E601" s="131"/>
    </row>
    <row r="602" spans="1:5" ht="10.5" hidden="1" customHeight="1" x14ac:dyDescent="0.25">
      <c r="A602" s="131"/>
      <c r="B602" s="131"/>
      <c r="C602" s="131"/>
      <c r="D602" s="131"/>
      <c r="E602" s="131"/>
    </row>
    <row r="603" spans="1:5" ht="10.5" hidden="1" customHeight="1" x14ac:dyDescent="0.25">
      <c r="A603" s="131"/>
      <c r="B603" s="131"/>
      <c r="C603" s="131"/>
      <c r="D603" s="131"/>
      <c r="E603" s="131"/>
    </row>
    <row r="604" spans="1:5" ht="10.5" hidden="1" customHeight="1" x14ac:dyDescent="0.25">
      <c r="A604" s="131"/>
      <c r="B604" s="131"/>
      <c r="C604" s="131"/>
      <c r="D604" s="131"/>
      <c r="E604" s="131"/>
    </row>
    <row r="605" spans="1:5" ht="10.5" hidden="1" customHeight="1" x14ac:dyDescent="0.25">
      <c r="A605" s="131"/>
      <c r="B605" s="131"/>
      <c r="C605" s="131"/>
      <c r="D605" s="131"/>
      <c r="E605" s="131"/>
    </row>
    <row r="606" spans="1:5" ht="10.5" hidden="1" customHeight="1" x14ac:dyDescent="0.25">
      <c r="A606" s="131"/>
      <c r="B606" s="131"/>
      <c r="C606" s="131"/>
      <c r="D606" s="131"/>
      <c r="E606" s="131"/>
    </row>
    <row r="607" spans="1:5" ht="10.5" hidden="1" customHeight="1" x14ac:dyDescent="0.25">
      <c r="A607" s="131"/>
      <c r="B607" s="131"/>
      <c r="C607" s="131"/>
      <c r="D607" s="131"/>
      <c r="E607" s="131"/>
    </row>
    <row r="608" spans="1:5" ht="10.5" hidden="1" customHeight="1" x14ac:dyDescent="0.25">
      <c r="A608" s="131"/>
      <c r="B608" s="131"/>
      <c r="C608" s="131"/>
      <c r="D608" s="131"/>
      <c r="E608" s="131"/>
    </row>
    <row r="609" spans="1:5" ht="10.5" hidden="1" customHeight="1" x14ac:dyDescent="0.25">
      <c r="A609" s="131"/>
      <c r="B609" s="131"/>
      <c r="C609" s="131"/>
      <c r="D609" s="131"/>
      <c r="E609" s="131"/>
    </row>
    <row r="610" spans="1:5" ht="10.5" hidden="1" customHeight="1" x14ac:dyDescent="0.25">
      <c r="A610" s="131"/>
      <c r="B610" s="131"/>
      <c r="C610" s="131"/>
      <c r="D610" s="131"/>
      <c r="E610" s="131"/>
    </row>
    <row r="611" spans="1:5" ht="10.5" hidden="1" customHeight="1" x14ac:dyDescent="0.25">
      <c r="A611" s="131"/>
      <c r="B611" s="131"/>
      <c r="C611" s="131"/>
      <c r="D611" s="131"/>
      <c r="E611" s="131"/>
    </row>
    <row r="612" spans="1:5" ht="10.5" hidden="1" customHeight="1" x14ac:dyDescent="0.25">
      <c r="A612" s="131"/>
      <c r="B612" s="131"/>
      <c r="C612" s="131"/>
      <c r="D612" s="131"/>
      <c r="E612" s="131"/>
    </row>
    <row r="613" spans="1:5" ht="10.5" hidden="1" customHeight="1" x14ac:dyDescent="0.25">
      <c r="A613" s="131"/>
      <c r="B613" s="131"/>
      <c r="C613" s="131"/>
      <c r="D613" s="131"/>
      <c r="E613" s="131"/>
    </row>
    <row r="614" spans="1:5" ht="10.5" hidden="1" customHeight="1" x14ac:dyDescent="0.25">
      <c r="A614" s="131"/>
      <c r="B614" s="131"/>
      <c r="C614" s="131"/>
      <c r="D614" s="131"/>
      <c r="E614" s="131"/>
    </row>
    <row r="615" spans="1:5" ht="10.5" hidden="1" customHeight="1" x14ac:dyDescent="0.25">
      <c r="A615" s="131"/>
      <c r="B615" s="131"/>
      <c r="C615" s="131"/>
      <c r="D615" s="131"/>
      <c r="E615" s="131"/>
    </row>
    <row r="616" spans="1:5" ht="10.5" hidden="1" customHeight="1" x14ac:dyDescent="0.25">
      <c r="A616" s="131"/>
      <c r="B616" s="131"/>
      <c r="C616" s="131"/>
      <c r="D616" s="131"/>
      <c r="E616" s="131"/>
    </row>
    <row r="617" spans="1:5" ht="10.5" hidden="1" customHeight="1" x14ac:dyDescent="0.25">
      <c r="A617" s="131"/>
      <c r="B617" s="131"/>
      <c r="C617" s="131"/>
      <c r="D617" s="131"/>
      <c r="E617" s="131"/>
    </row>
    <row r="618" spans="1:5" ht="10.5" hidden="1" customHeight="1" x14ac:dyDescent="0.25">
      <c r="A618" s="131"/>
      <c r="B618" s="131"/>
      <c r="C618" s="131"/>
      <c r="D618" s="131"/>
      <c r="E618" s="131"/>
    </row>
    <row r="619" spans="1:5" ht="10.5" hidden="1" customHeight="1" x14ac:dyDescent="0.25">
      <c r="A619" s="131"/>
      <c r="B619" s="131"/>
      <c r="C619" s="131"/>
      <c r="D619" s="131"/>
      <c r="E619" s="131"/>
    </row>
    <row r="620" spans="1:5" ht="10.5" hidden="1" customHeight="1" x14ac:dyDescent="0.25">
      <c r="A620" s="131"/>
      <c r="B620" s="131"/>
      <c r="C620" s="131"/>
      <c r="D620" s="131"/>
      <c r="E620" s="131"/>
    </row>
    <row r="621" spans="1:5" ht="10.5" hidden="1" customHeight="1" x14ac:dyDescent="0.25">
      <c r="A621" s="131"/>
      <c r="B621" s="131"/>
      <c r="C621" s="131"/>
      <c r="D621" s="131"/>
      <c r="E621" s="131"/>
    </row>
    <row r="622" spans="1:5" ht="10.5" hidden="1" customHeight="1" x14ac:dyDescent="0.25">
      <c r="A622" s="131"/>
      <c r="B622" s="131"/>
      <c r="C622" s="131"/>
      <c r="D622" s="131"/>
      <c r="E622" s="131"/>
    </row>
    <row r="623" spans="1:5" ht="10.5" hidden="1" customHeight="1" x14ac:dyDescent="0.25">
      <c r="A623" s="131"/>
      <c r="B623" s="131"/>
      <c r="C623" s="131"/>
      <c r="D623" s="131"/>
      <c r="E623" s="131"/>
    </row>
    <row r="624" spans="1:5" ht="10.5" hidden="1" customHeight="1" x14ac:dyDescent="0.25">
      <c r="A624" s="131"/>
      <c r="B624" s="131"/>
      <c r="C624" s="131"/>
      <c r="D624" s="131"/>
      <c r="E624" s="131"/>
    </row>
    <row r="625" spans="1:8" ht="10.5" hidden="1" customHeight="1" x14ac:dyDescent="0.25">
      <c r="A625" s="131"/>
      <c r="B625" s="131"/>
      <c r="C625" s="131"/>
      <c r="D625" s="131"/>
      <c r="E625" s="131"/>
    </row>
    <row r="626" spans="1:8" ht="10.5" hidden="1" customHeight="1" x14ac:dyDescent="0.25">
      <c r="A626" s="131"/>
      <c r="B626" s="131"/>
      <c r="C626" s="131"/>
      <c r="D626" s="131"/>
      <c r="E626" s="131"/>
      <c r="F626" s="1"/>
      <c r="G626" s="1"/>
      <c r="H626" s="2"/>
    </row>
    <row r="627" spans="1:8" ht="10.5" hidden="1" customHeight="1" x14ac:dyDescent="0.25">
      <c r="A627" s="131"/>
      <c r="B627" s="131"/>
      <c r="C627" s="131"/>
      <c r="D627" s="131"/>
      <c r="E627" s="131"/>
      <c r="F627" s="1"/>
      <c r="G627" s="1"/>
      <c r="H627" s="2"/>
    </row>
    <row r="628" spans="1:8" ht="10.5" hidden="1" customHeight="1" x14ac:dyDescent="0.25">
      <c r="A628" s="131"/>
      <c r="B628" s="131"/>
      <c r="C628" s="131"/>
      <c r="D628" s="131"/>
      <c r="E628" s="131"/>
      <c r="F628" s="1"/>
      <c r="G628" s="1"/>
      <c r="H628" s="2"/>
    </row>
    <row r="629" spans="1:8" ht="10.5" hidden="1" customHeight="1" x14ac:dyDescent="0.25">
      <c r="A629" s="131"/>
      <c r="B629" s="131"/>
      <c r="C629" s="131"/>
      <c r="D629" s="131"/>
      <c r="E629" s="131"/>
      <c r="F629" s="1"/>
      <c r="G629" s="1"/>
      <c r="H629" s="2"/>
    </row>
    <row r="630" spans="1:8" ht="10.5" hidden="1" customHeight="1" x14ac:dyDescent="0.25">
      <c r="A630" s="131"/>
      <c r="B630" s="131"/>
      <c r="C630" s="131"/>
      <c r="D630" s="131"/>
      <c r="E630" s="131"/>
      <c r="F630" s="1"/>
      <c r="G630" s="1"/>
      <c r="H630" s="2"/>
    </row>
    <row r="631" spans="1:8" ht="10.5" hidden="1" customHeight="1" x14ac:dyDescent="0.25">
      <c r="A631" s="131"/>
      <c r="B631" s="131"/>
      <c r="C631" s="131"/>
      <c r="D631" s="131"/>
      <c r="E631" s="131"/>
      <c r="F631" s="1"/>
      <c r="G631" s="1"/>
      <c r="H631" s="2"/>
    </row>
    <row r="632" spans="1:8" ht="10.5" hidden="1" customHeight="1" x14ac:dyDescent="0.25">
      <c r="A632" s="131"/>
      <c r="B632" s="131"/>
      <c r="C632" s="131"/>
      <c r="D632" s="131"/>
      <c r="E632" s="131"/>
      <c r="F632" s="1"/>
      <c r="G632" s="1"/>
      <c r="H632" s="2"/>
    </row>
    <row r="633" spans="1:8" ht="10.5" hidden="1" customHeight="1" x14ac:dyDescent="0.25">
      <c r="A633" s="131"/>
      <c r="B633" s="131"/>
      <c r="C633" s="131"/>
      <c r="D633" s="131"/>
      <c r="E633" s="131"/>
      <c r="F633" s="1"/>
      <c r="G633" s="1"/>
      <c r="H633" s="2"/>
    </row>
    <row r="634" spans="1:8" ht="10.5" hidden="1" customHeight="1" x14ac:dyDescent="0.25">
      <c r="A634" s="131"/>
      <c r="B634" s="131"/>
      <c r="C634" s="131"/>
      <c r="D634" s="131"/>
      <c r="E634" s="131"/>
      <c r="F634" s="1"/>
      <c r="G634" s="1"/>
      <c r="H634" s="2"/>
    </row>
    <row r="635" spans="1:8" ht="10.5" hidden="1" customHeight="1" x14ac:dyDescent="0.25">
      <c r="A635" s="131"/>
      <c r="B635" s="131"/>
      <c r="C635" s="131"/>
      <c r="D635" s="131"/>
      <c r="E635" s="131"/>
      <c r="F635" s="1"/>
      <c r="G635" s="1"/>
      <c r="H635" s="2"/>
    </row>
    <row r="636" spans="1:8" ht="10.5" hidden="1" customHeight="1" x14ac:dyDescent="0.25">
      <c r="A636" s="131"/>
      <c r="B636" s="131"/>
      <c r="C636" s="131"/>
      <c r="D636" s="131"/>
      <c r="E636" s="131"/>
      <c r="F636" s="1"/>
      <c r="G636" s="1"/>
      <c r="H636" s="2"/>
    </row>
    <row r="637" spans="1:8" ht="10.5" hidden="1" customHeight="1" x14ac:dyDescent="0.25">
      <c r="A637" s="131"/>
      <c r="B637" s="131"/>
      <c r="C637" s="131"/>
      <c r="D637" s="131"/>
      <c r="E637" s="131"/>
      <c r="F637" s="1"/>
      <c r="G637" s="1"/>
      <c r="H637" s="2"/>
    </row>
    <row r="638" spans="1:8" ht="10.5" hidden="1" customHeight="1" x14ac:dyDescent="0.25">
      <c r="A638" s="131"/>
      <c r="B638" s="131"/>
      <c r="C638" s="131"/>
      <c r="D638" s="131"/>
      <c r="E638" s="131"/>
      <c r="F638" s="1"/>
      <c r="G638" s="1"/>
      <c r="H638" s="2"/>
    </row>
    <row r="639" spans="1:8" ht="10.5" customHeight="1" x14ac:dyDescent="0.25">
      <c r="A639" s="131"/>
      <c r="B639" s="131"/>
      <c r="C639" s="131"/>
      <c r="D639" s="131"/>
      <c r="E639" s="131"/>
      <c r="F639" s="1"/>
      <c r="G639" s="1"/>
      <c r="H639" s="2"/>
    </row>
    <row r="640" spans="1:8" s="129" customFormat="1" ht="12.95" customHeight="1" x14ac:dyDescent="0.25">
      <c r="A640" s="126"/>
      <c r="B640" s="127" t="s">
        <v>114</v>
      </c>
      <c r="C640" s="128" t="str">
        <f>A216</f>
        <v>Bonus 4.0 FAR</v>
      </c>
      <c r="D640" s="126"/>
      <c r="E640" s="126"/>
      <c r="H640" s="130"/>
    </row>
    <row r="641" spans="1:8" ht="10.5" customHeight="1" x14ac:dyDescent="0.25">
      <c r="A641" s="131"/>
      <c r="B641" s="131" t="s">
        <v>115</v>
      </c>
      <c r="C641" s="132">
        <f>H215</f>
        <v>175282.15384615384</v>
      </c>
      <c r="D641" s="131"/>
      <c r="E641" s="131"/>
      <c r="F641" s="1"/>
      <c r="G641" s="1"/>
      <c r="H641" s="2"/>
    </row>
    <row r="642" spans="1:8" ht="10.5" customHeight="1" x14ac:dyDescent="0.25">
      <c r="A642" s="131"/>
      <c r="B642" s="131" t="s">
        <v>116</v>
      </c>
      <c r="C642" s="132">
        <f>H217</f>
        <v>668220</v>
      </c>
      <c r="D642" s="131"/>
      <c r="E642" s="131"/>
    </row>
    <row r="643" spans="1:8" ht="10.5" customHeight="1" x14ac:dyDescent="0.25">
      <c r="A643" s="131"/>
      <c r="B643" s="131" t="s">
        <v>117</v>
      </c>
      <c r="C643" s="132">
        <f>G218</f>
        <v>950</v>
      </c>
      <c r="D643" s="131"/>
      <c r="E643" s="131"/>
    </row>
    <row r="644" spans="1:8" ht="10.5" customHeight="1" x14ac:dyDescent="0.25">
      <c r="A644" s="131"/>
      <c r="B644" s="131" t="s">
        <v>107</v>
      </c>
      <c r="C644" s="132">
        <f>H218</f>
        <v>703.38947368421054</v>
      </c>
      <c r="D644" s="131"/>
      <c r="E644" s="131"/>
    </row>
    <row r="645" spans="1:8" ht="10.5" customHeight="1" x14ac:dyDescent="0.25">
      <c r="A645" s="131"/>
      <c r="B645" s="131" t="s">
        <v>118</v>
      </c>
      <c r="C645" s="132">
        <f>H220</f>
        <v>48</v>
      </c>
      <c r="D645" s="131"/>
      <c r="E645" s="131"/>
    </row>
    <row r="646" spans="1:8" ht="10.5" customHeight="1" x14ac:dyDescent="0.25">
      <c r="A646" s="131"/>
      <c r="B646" s="131" t="s">
        <v>119</v>
      </c>
      <c r="C646" s="132">
        <f>H222</f>
        <v>138.28109149797569</v>
      </c>
      <c r="D646" s="131"/>
      <c r="E646" s="131"/>
    </row>
    <row r="647" spans="1:8" ht="10.5" customHeight="1" x14ac:dyDescent="0.25">
      <c r="A647" s="131"/>
      <c r="B647" s="131" t="s">
        <v>120</v>
      </c>
      <c r="C647" s="132">
        <f>H225</f>
        <v>0</v>
      </c>
      <c r="D647" s="131"/>
      <c r="E647" s="131"/>
    </row>
    <row r="648" spans="1:8" ht="10.5" customHeight="1" x14ac:dyDescent="0.25">
      <c r="A648" s="131"/>
      <c r="B648" s="131"/>
      <c r="C648" s="132"/>
      <c r="D648" s="131"/>
      <c r="E648" s="131"/>
    </row>
    <row r="649" spans="1:8" ht="10.5" customHeight="1" x14ac:dyDescent="0.25">
      <c r="A649" s="131"/>
      <c r="B649" s="133" t="s">
        <v>121</v>
      </c>
      <c r="C649" s="132"/>
      <c r="D649" s="131"/>
      <c r="E649" s="131"/>
    </row>
    <row r="650" spans="1:8" ht="10.5" customHeight="1" x14ac:dyDescent="0.25">
      <c r="A650" s="131"/>
      <c r="B650" s="131" t="s">
        <v>122</v>
      </c>
      <c r="C650" s="134">
        <f>H234</f>
        <v>632597.76000000001</v>
      </c>
      <c r="D650" s="135" t="s">
        <v>123</v>
      </c>
      <c r="E650" s="134">
        <v>1098.26</v>
      </c>
    </row>
    <row r="651" spans="1:8" ht="10.5" customHeight="1" x14ac:dyDescent="0.25">
      <c r="A651" s="131"/>
      <c r="B651" s="131" t="s">
        <v>124</v>
      </c>
      <c r="C651" s="134">
        <f>H235</f>
        <v>850382.07702646148</v>
      </c>
      <c r="D651" s="135" t="s">
        <v>123</v>
      </c>
      <c r="E651" s="134">
        <v>784.93925925925919</v>
      </c>
    </row>
    <row r="652" spans="1:8" ht="10.5" customHeight="1" x14ac:dyDescent="0.25">
      <c r="A652" s="131"/>
      <c r="B652" s="131" t="s">
        <v>125</v>
      </c>
      <c r="C652" s="136">
        <f>H233</f>
        <v>20045070</v>
      </c>
      <c r="D652" s="135" t="s">
        <v>123</v>
      </c>
      <c r="E652" s="134">
        <v>2956.5</v>
      </c>
    </row>
    <row r="653" spans="1:8" ht="10.5" customHeight="1" x14ac:dyDescent="0.25">
      <c r="A653" s="131"/>
      <c r="B653" s="131" t="s">
        <v>126</v>
      </c>
      <c r="C653" s="136">
        <f>H238</f>
        <v>1582626.3157894739</v>
      </c>
      <c r="D653" s="135"/>
      <c r="E653" s="134"/>
    </row>
    <row r="654" spans="1:8" ht="10.5" customHeight="1" x14ac:dyDescent="0.25">
      <c r="A654" s="131"/>
      <c r="B654" s="131" t="s">
        <v>127</v>
      </c>
      <c r="C654" s="136">
        <f>H247</f>
        <v>-1002253.5</v>
      </c>
      <c r="D654" s="135"/>
      <c r="E654" s="134"/>
    </row>
    <row r="655" spans="1:8" ht="10.5" customHeight="1" x14ac:dyDescent="0.25">
      <c r="A655" s="131"/>
      <c r="B655" s="131" t="s">
        <v>128</v>
      </c>
      <c r="C655" s="136">
        <f>H257</f>
        <v>-7538170.9906578949</v>
      </c>
      <c r="D655" s="131"/>
      <c r="E655" s="131"/>
    </row>
    <row r="656" spans="1:8" ht="10.5" customHeight="1" x14ac:dyDescent="0.25">
      <c r="A656" s="131"/>
      <c r="B656" s="131" t="s">
        <v>129</v>
      </c>
      <c r="C656" s="134">
        <f>SUM(C650:C655)</f>
        <v>14570251.662158038</v>
      </c>
      <c r="D656" s="131"/>
      <c r="E656" s="131"/>
    </row>
    <row r="657" spans="1:5" ht="10.5" customHeight="1" x14ac:dyDescent="0.25">
      <c r="A657" s="131"/>
      <c r="B657" s="131"/>
      <c r="C657" s="131"/>
      <c r="D657" s="131"/>
      <c r="E657" s="131"/>
    </row>
    <row r="658" spans="1:5" ht="10.5" customHeight="1" x14ac:dyDescent="0.25">
      <c r="A658" s="131"/>
      <c r="B658" s="133" t="s">
        <v>130</v>
      </c>
      <c r="C658" s="131"/>
      <c r="D658" s="131"/>
      <c r="E658" s="131"/>
    </row>
    <row r="659" spans="1:5" ht="10.5" customHeight="1" x14ac:dyDescent="0.25">
      <c r="A659" s="131"/>
      <c r="B659" s="131" t="s">
        <v>131</v>
      </c>
      <c r="C659" s="136">
        <f>H271+H273</f>
        <v>190597445.68421057</v>
      </c>
      <c r="D659" s="131"/>
      <c r="E659" s="131"/>
    </row>
    <row r="660" spans="1:5" ht="10.5" customHeight="1" x14ac:dyDescent="0.25">
      <c r="A660" s="131"/>
      <c r="B660" s="131" t="s">
        <v>132</v>
      </c>
      <c r="C660" s="136">
        <f>H269</f>
        <v>12269750.76923077</v>
      </c>
      <c r="D660" s="131"/>
      <c r="E660" s="131"/>
    </row>
    <row r="661" spans="1:5" ht="10.5" customHeight="1" x14ac:dyDescent="0.25">
      <c r="A661" s="131"/>
      <c r="B661" s="131" t="s">
        <v>133</v>
      </c>
      <c r="C661" s="136">
        <f>H274</f>
        <v>34400000</v>
      </c>
      <c r="D661" s="131"/>
      <c r="E661" s="131"/>
    </row>
    <row r="662" spans="1:5" ht="10.5" customHeight="1" x14ac:dyDescent="0.25">
      <c r="A662" s="131"/>
      <c r="B662" s="131" t="s">
        <v>113</v>
      </c>
      <c r="C662" s="136">
        <f>H270</f>
        <v>0</v>
      </c>
      <c r="D662" s="131"/>
      <c r="E662" s="131"/>
    </row>
    <row r="663" spans="1:5" ht="10.5" customHeight="1" x14ac:dyDescent="0.25">
      <c r="A663" s="131"/>
      <c r="B663" s="131" t="s">
        <v>134</v>
      </c>
      <c r="C663" s="136">
        <f>SUM(C659:C662)</f>
        <v>237267196.45344135</v>
      </c>
      <c r="D663" s="135" t="s">
        <v>135</v>
      </c>
      <c r="E663" s="136">
        <f>C663/C644</f>
        <v>337319.79981259059</v>
      </c>
    </row>
    <row r="664" spans="1:5" ht="10.5" customHeight="1" x14ac:dyDescent="0.25">
      <c r="A664" s="131"/>
      <c r="B664" s="131"/>
      <c r="C664" s="131"/>
      <c r="D664" s="131"/>
      <c r="E664" s="131"/>
    </row>
    <row r="665" spans="1:5" ht="10.5" customHeight="1" x14ac:dyDescent="0.25">
      <c r="A665" s="131"/>
      <c r="B665" s="133" t="s">
        <v>136</v>
      </c>
      <c r="C665" s="137">
        <f>C656/C663</f>
        <v>6.1408622346229562E-2</v>
      </c>
      <c r="D665" s="131"/>
      <c r="E665" s="131"/>
    </row>
    <row r="666" spans="1:5" ht="10.5" customHeight="1" x14ac:dyDescent="0.25">
      <c r="A666" s="131"/>
      <c r="B666" s="131"/>
      <c r="C666" s="131"/>
      <c r="D666" s="131"/>
      <c r="E666" s="131"/>
    </row>
    <row r="667" spans="1:5" ht="10.5" hidden="1" customHeight="1" x14ac:dyDescent="0.25">
      <c r="A667" s="131"/>
      <c r="B667" s="131"/>
      <c r="C667" s="131"/>
      <c r="D667" s="131"/>
      <c r="E667" s="131"/>
    </row>
    <row r="668" spans="1:5" ht="10.5" hidden="1" customHeight="1" x14ac:dyDescent="0.25">
      <c r="A668" s="131"/>
      <c r="B668" s="131"/>
      <c r="C668" s="131"/>
      <c r="D668" s="131"/>
      <c r="E668" s="131"/>
    </row>
    <row r="669" spans="1:5" ht="10.5" hidden="1" customHeight="1" x14ac:dyDescent="0.25">
      <c r="A669" s="131"/>
      <c r="B669" s="131"/>
      <c r="C669" s="131"/>
      <c r="D669" s="131"/>
      <c r="E669" s="131"/>
    </row>
    <row r="670" spans="1:5" ht="10.5" hidden="1" customHeight="1" x14ac:dyDescent="0.25">
      <c r="A670" s="131"/>
      <c r="B670" s="131"/>
      <c r="C670" s="131"/>
      <c r="D670" s="131"/>
      <c r="E670" s="131"/>
    </row>
    <row r="671" spans="1:5" ht="10.5" hidden="1" customHeight="1" x14ac:dyDescent="0.25">
      <c r="A671" s="131"/>
      <c r="B671" s="131"/>
      <c r="C671" s="131"/>
      <c r="D671" s="131"/>
      <c r="E671" s="131"/>
    </row>
    <row r="672" spans="1:5" ht="10.5" hidden="1" customHeight="1" x14ac:dyDescent="0.25">
      <c r="A672" s="131"/>
      <c r="B672" s="131"/>
      <c r="C672" s="131"/>
      <c r="D672" s="131"/>
      <c r="E672" s="131"/>
    </row>
    <row r="673" spans="1:5" ht="10.5" hidden="1" customHeight="1" x14ac:dyDescent="0.25">
      <c r="A673" s="131"/>
      <c r="B673" s="131"/>
      <c r="C673" s="131"/>
      <c r="D673" s="131"/>
      <c r="E673" s="131"/>
    </row>
    <row r="674" spans="1:5" ht="10.5" hidden="1" customHeight="1" x14ac:dyDescent="0.25">
      <c r="A674" s="131"/>
      <c r="B674" s="131"/>
      <c r="C674" s="131"/>
      <c r="D674" s="131"/>
      <c r="E674" s="131"/>
    </row>
    <row r="675" spans="1:5" ht="10.5" hidden="1" customHeight="1" x14ac:dyDescent="0.25">
      <c r="A675" s="131"/>
      <c r="B675" s="131"/>
      <c r="C675" s="131"/>
      <c r="D675" s="131"/>
      <c r="E675" s="131"/>
    </row>
    <row r="676" spans="1:5" ht="10.5" hidden="1" customHeight="1" x14ac:dyDescent="0.25">
      <c r="A676" s="131"/>
      <c r="B676" s="131"/>
      <c r="C676" s="131"/>
      <c r="D676" s="131"/>
      <c r="E676" s="131"/>
    </row>
    <row r="677" spans="1:5" ht="10.5" hidden="1" customHeight="1" x14ac:dyDescent="0.25">
      <c r="A677" s="131"/>
      <c r="B677" s="131"/>
      <c r="C677" s="131"/>
      <c r="D677" s="131"/>
      <c r="E677" s="131"/>
    </row>
    <row r="678" spans="1:5" ht="10.5" hidden="1" customHeight="1" x14ac:dyDescent="0.25">
      <c r="A678" s="131"/>
      <c r="B678" s="131"/>
      <c r="C678" s="131"/>
      <c r="D678" s="131"/>
      <c r="E678" s="131"/>
    </row>
    <row r="679" spans="1:5" ht="10.5" hidden="1" customHeight="1" x14ac:dyDescent="0.25">
      <c r="A679" s="131"/>
      <c r="B679" s="131"/>
      <c r="C679" s="131"/>
      <c r="D679" s="131"/>
      <c r="E679" s="131"/>
    </row>
    <row r="680" spans="1:5" ht="10.5" hidden="1" customHeight="1" x14ac:dyDescent="0.25">
      <c r="A680" s="131"/>
      <c r="B680" s="131"/>
      <c r="C680" s="131"/>
      <c r="D680" s="131"/>
      <c r="E680" s="131"/>
    </row>
    <row r="681" spans="1:5" ht="10.5" hidden="1" customHeight="1" x14ac:dyDescent="0.25">
      <c r="A681" s="131"/>
      <c r="B681" s="131"/>
      <c r="C681" s="131"/>
      <c r="D681" s="131"/>
      <c r="E681" s="131"/>
    </row>
    <row r="682" spans="1:5" ht="10.5" hidden="1" customHeight="1" x14ac:dyDescent="0.25">
      <c r="A682" s="131"/>
      <c r="B682" s="131"/>
      <c r="C682" s="131"/>
      <c r="D682" s="131"/>
      <c r="E682" s="131"/>
    </row>
    <row r="683" spans="1:5" ht="10.5" hidden="1" customHeight="1" x14ac:dyDescent="0.25">
      <c r="A683" s="131"/>
      <c r="B683" s="131"/>
      <c r="C683" s="131"/>
      <c r="D683" s="131"/>
      <c r="E683" s="131"/>
    </row>
    <row r="684" spans="1:5" ht="10.5" hidden="1" customHeight="1" x14ac:dyDescent="0.25">
      <c r="A684" s="131"/>
      <c r="B684" s="131"/>
      <c r="C684" s="131"/>
      <c r="D684" s="131"/>
      <c r="E684" s="131"/>
    </row>
    <row r="685" spans="1:5" ht="10.5" hidden="1" customHeight="1" x14ac:dyDescent="0.25">
      <c r="A685" s="131"/>
      <c r="B685" s="131"/>
      <c r="C685" s="131"/>
      <c r="D685" s="131"/>
      <c r="E685" s="131"/>
    </row>
    <row r="686" spans="1:5" ht="10.5" hidden="1" customHeight="1" x14ac:dyDescent="0.25">
      <c r="A686" s="131"/>
      <c r="B686" s="131"/>
      <c r="C686" s="131"/>
      <c r="D686" s="131"/>
      <c r="E686" s="131"/>
    </row>
    <row r="687" spans="1:5" ht="10.5" hidden="1" customHeight="1" x14ac:dyDescent="0.25">
      <c r="A687" s="131"/>
      <c r="B687" s="131"/>
      <c r="C687" s="131"/>
      <c r="D687" s="131"/>
      <c r="E687" s="131"/>
    </row>
    <row r="688" spans="1:5" ht="10.5" hidden="1" customHeight="1" x14ac:dyDescent="0.25">
      <c r="A688" s="131"/>
      <c r="B688" s="131"/>
      <c r="C688" s="131"/>
      <c r="D688" s="131"/>
      <c r="E688" s="131"/>
    </row>
    <row r="689" spans="1:5" ht="10.5" hidden="1" customHeight="1" x14ac:dyDescent="0.25">
      <c r="A689" s="131"/>
      <c r="B689" s="131"/>
      <c r="C689" s="131"/>
      <c r="D689" s="131"/>
      <c r="E689" s="131"/>
    </row>
    <row r="690" spans="1:5" ht="10.5" hidden="1" customHeight="1" x14ac:dyDescent="0.25">
      <c r="A690" s="131"/>
      <c r="B690" s="131"/>
      <c r="C690" s="131"/>
      <c r="D690" s="131"/>
      <c r="E690" s="131"/>
    </row>
    <row r="691" spans="1:5" ht="10.5" hidden="1" customHeight="1" x14ac:dyDescent="0.25">
      <c r="A691" s="131"/>
      <c r="B691" s="131"/>
      <c r="C691" s="131"/>
      <c r="D691" s="131"/>
      <c r="E691" s="131"/>
    </row>
    <row r="692" spans="1:5" ht="10.5" hidden="1" customHeight="1" x14ac:dyDescent="0.25">
      <c r="A692" s="131"/>
      <c r="B692" s="131"/>
      <c r="C692" s="131"/>
      <c r="D692" s="131"/>
      <c r="E692" s="131"/>
    </row>
    <row r="693" spans="1:5" ht="10.5" hidden="1" customHeight="1" x14ac:dyDescent="0.25">
      <c r="A693" s="131"/>
      <c r="B693" s="131"/>
      <c r="C693" s="131"/>
      <c r="D693" s="131"/>
      <c r="E693" s="131"/>
    </row>
    <row r="694" spans="1:5" ht="10.5" hidden="1" customHeight="1" x14ac:dyDescent="0.25">
      <c r="A694" s="131"/>
      <c r="B694" s="131"/>
      <c r="C694" s="131"/>
      <c r="D694" s="131"/>
      <c r="E694" s="131"/>
    </row>
    <row r="695" spans="1:5" ht="10.5" hidden="1" customHeight="1" x14ac:dyDescent="0.25">
      <c r="A695" s="131"/>
      <c r="B695" s="131"/>
      <c r="C695" s="131"/>
      <c r="D695" s="131"/>
      <c r="E695" s="131"/>
    </row>
    <row r="696" spans="1:5" ht="10.5" hidden="1" customHeight="1" x14ac:dyDescent="0.25">
      <c r="A696" s="131"/>
      <c r="B696" s="131"/>
      <c r="C696" s="131"/>
      <c r="D696" s="131"/>
      <c r="E696" s="131"/>
    </row>
    <row r="697" spans="1:5" ht="10.5" hidden="1" customHeight="1" x14ac:dyDescent="0.25">
      <c r="A697" s="131"/>
      <c r="B697" s="131"/>
      <c r="C697" s="131"/>
      <c r="D697" s="131"/>
      <c r="E697" s="131"/>
    </row>
    <row r="698" spans="1:5" ht="10.5" hidden="1" customHeight="1" x14ac:dyDescent="0.25">
      <c r="A698" s="131"/>
      <c r="B698" s="131"/>
      <c r="C698" s="131"/>
      <c r="D698" s="131"/>
      <c r="E698" s="131"/>
    </row>
    <row r="699" spans="1:5" ht="10.5" hidden="1" customHeight="1" x14ac:dyDescent="0.25">
      <c r="A699" s="131"/>
      <c r="B699" s="131"/>
      <c r="C699" s="131"/>
      <c r="D699" s="131"/>
      <c r="E699" s="131"/>
    </row>
    <row r="700" spans="1:5" ht="10.5" hidden="1" customHeight="1" x14ac:dyDescent="0.25">
      <c r="A700" s="131"/>
      <c r="B700" s="131"/>
      <c r="C700" s="131"/>
      <c r="D700" s="131"/>
      <c r="E700" s="131"/>
    </row>
    <row r="701" spans="1:5" ht="10.5" hidden="1" customHeight="1" x14ac:dyDescent="0.25">
      <c r="A701" s="131"/>
      <c r="B701" s="131"/>
      <c r="C701" s="131"/>
      <c r="D701" s="131"/>
      <c r="E701" s="131"/>
    </row>
    <row r="702" spans="1:5" ht="10.5" hidden="1" customHeight="1" x14ac:dyDescent="0.25">
      <c r="A702" s="131"/>
      <c r="B702" s="131"/>
      <c r="C702" s="131"/>
      <c r="D702" s="131"/>
      <c r="E702" s="131"/>
    </row>
    <row r="703" spans="1:5" ht="10.5" hidden="1" customHeight="1" x14ac:dyDescent="0.25">
      <c r="A703" s="131"/>
      <c r="B703" s="131"/>
      <c r="C703" s="131"/>
      <c r="D703" s="131"/>
      <c r="E703" s="131"/>
    </row>
    <row r="704" spans="1:5" ht="10.5" hidden="1" customHeight="1" x14ac:dyDescent="0.25">
      <c r="A704" s="131"/>
      <c r="B704" s="131"/>
      <c r="C704" s="131"/>
      <c r="D704" s="131"/>
      <c r="E704" s="131"/>
    </row>
    <row r="705" spans="1:8" ht="10.5" hidden="1" customHeight="1" x14ac:dyDescent="0.25">
      <c r="A705" s="131"/>
      <c r="B705" s="131"/>
      <c r="C705" s="131"/>
      <c r="D705" s="131"/>
      <c r="E705" s="131"/>
    </row>
    <row r="706" spans="1:8" ht="10.5" hidden="1" customHeight="1" x14ac:dyDescent="0.25">
      <c r="A706" s="131"/>
      <c r="B706" s="131"/>
      <c r="C706" s="131"/>
      <c r="D706" s="131"/>
      <c r="E706" s="131"/>
      <c r="F706" s="1"/>
      <c r="G706" s="1"/>
      <c r="H706" s="2"/>
    </row>
    <row r="707" spans="1:8" ht="10.5" hidden="1" customHeight="1" x14ac:dyDescent="0.25">
      <c r="A707" s="131"/>
      <c r="B707" s="131"/>
      <c r="C707" s="131"/>
      <c r="D707" s="131"/>
      <c r="E707" s="131"/>
      <c r="F707" s="1"/>
      <c r="G707" s="1"/>
      <c r="H707" s="2"/>
    </row>
    <row r="708" spans="1:8" s="129" customFormat="1" ht="12.95" customHeight="1" x14ac:dyDescent="0.25">
      <c r="A708" s="126"/>
      <c r="B708" s="127" t="s">
        <v>114</v>
      </c>
      <c r="C708" s="128" t="str">
        <f>A284</f>
        <v>Bonus 5.0 FAR</v>
      </c>
      <c r="D708" s="126"/>
      <c r="E708" s="126"/>
      <c r="H708" s="130"/>
    </row>
    <row r="709" spans="1:8" ht="10.5" customHeight="1" x14ac:dyDescent="0.25">
      <c r="A709" s="131"/>
      <c r="B709" s="131" t="s">
        <v>115</v>
      </c>
      <c r="C709" s="132">
        <f>H283</f>
        <v>50375</v>
      </c>
      <c r="D709" s="131"/>
      <c r="E709" s="131"/>
      <c r="F709" s="1"/>
      <c r="G709" s="1"/>
      <c r="H709" s="2"/>
    </row>
    <row r="710" spans="1:8" ht="10.5" customHeight="1" x14ac:dyDescent="0.25">
      <c r="A710" s="131"/>
      <c r="B710" s="131" t="s">
        <v>116</v>
      </c>
      <c r="C710" s="132">
        <f>H285</f>
        <v>239745</v>
      </c>
      <c r="D710" s="131"/>
      <c r="E710" s="131"/>
      <c r="F710" s="1"/>
      <c r="G710" s="1"/>
      <c r="H710" s="2"/>
    </row>
    <row r="711" spans="1:8" ht="10.5" customHeight="1" x14ac:dyDescent="0.25">
      <c r="A711" s="131"/>
      <c r="B711" s="131" t="s">
        <v>117</v>
      </c>
      <c r="C711" s="132">
        <f>G286</f>
        <v>950</v>
      </c>
      <c r="D711" s="131"/>
      <c r="E711" s="131"/>
      <c r="F711" s="1"/>
      <c r="G711" s="1"/>
      <c r="H711" s="2"/>
    </row>
    <row r="712" spans="1:8" ht="10.5" customHeight="1" x14ac:dyDescent="0.25">
      <c r="A712" s="131"/>
      <c r="B712" s="131" t="s">
        <v>107</v>
      </c>
      <c r="C712" s="132">
        <f>H286</f>
        <v>252.36315789473684</v>
      </c>
      <c r="D712" s="131"/>
      <c r="E712" s="131"/>
      <c r="F712" s="1"/>
      <c r="G712" s="1"/>
      <c r="H712" s="2"/>
    </row>
    <row r="713" spans="1:8" ht="10.5" customHeight="1" x14ac:dyDescent="0.25">
      <c r="A713" s="131"/>
      <c r="B713" s="131" t="s">
        <v>118</v>
      </c>
      <c r="C713" s="132">
        <f>H288</f>
        <v>13.786842105263158</v>
      </c>
      <c r="D713" s="131"/>
      <c r="E713" s="131"/>
      <c r="F713" s="1"/>
      <c r="G713" s="1"/>
      <c r="H713" s="2"/>
    </row>
    <row r="714" spans="1:8" ht="10.5" customHeight="1" x14ac:dyDescent="0.25">
      <c r="A714" s="131"/>
      <c r="B714" s="131" t="s">
        <v>119</v>
      </c>
      <c r="C714" s="132">
        <f>H290</f>
        <v>53.290684210526322</v>
      </c>
      <c r="D714" s="131"/>
      <c r="E714" s="131"/>
      <c r="F714" s="1"/>
      <c r="G714" s="1"/>
      <c r="H714" s="2"/>
    </row>
    <row r="715" spans="1:8" ht="10.5" customHeight="1" x14ac:dyDescent="0.25">
      <c r="A715" s="131"/>
      <c r="B715" s="131" t="s">
        <v>120</v>
      </c>
      <c r="C715" s="132">
        <f>H293</f>
        <v>0</v>
      </c>
      <c r="D715" s="131"/>
      <c r="E715" s="131"/>
      <c r="F715" s="1"/>
      <c r="G715" s="1"/>
      <c r="H715" s="2"/>
    </row>
    <row r="716" spans="1:8" ht="10.5" customHeight="1" x14ac:dyDescent="0.25">
      <c r="A716" s="131"/>
      <c r="B716" s="131"/>
      <c r="C716" s="132"/>
      <c r="D716" s="131"/>
      <c r="E716" s="131"/>
      <c r="F716" s="1"/>
      <c r="G716" s="1"/>
      <c r="H716" s="2"/>
    </row>
    <row r="717" spans="1:8" ht="10.5" customHeight="1" x14ac:dyDescent="0.25">
      <c r="A717" s="131"/>
      <c r="B717" s="133" t="s">
        <v>121</v>
      </c>
      <c r="C717" s="132"/>
      <c r="D717" s="131"/>
      <c r="E717" s="131"/>
      <c r="F717" s="1"/>
      <c r="G717" s="1"/>
      <c r="H717" s="2"/>
    </row>
    <row r="718" spans="1:8" ht="10.5" customHeight="1" x14ac:dyDescent="0.25">
      <c r="A718" s="131"/>
      <c r="B718" s="131" t="s">
        <v>122</v>
      </c>
      <c r="C718" s="134">
        <f>H302</f>
        <v>181698.44652631579</v>
      </c>
      <c r="D718" s="135" t="s">
        <v>123</v>
      </c>
      <c r="E718" s="134">
        <v>1098.26</v>
      </c>
      <c r="F718" s="1"/>
      <c r="G718" s="1"/>
      <c r="H718" s="2"/>
    </row>
    <row r="719" spans="1:8" ht="10.5" customHeight="1" x14ac:dyDescent="0.25">
      <c r="A719" s="131"/>
      <c r="B719" s="131" t="s">
        <v>124</v>
      </c>
      <c r="C719" s="134">
        <f>H303</f>
        <v>372097.39872</v>
      </c>
      <c r="D719" s="135" t="s">
        <v>123</v>
      </c>
      <c r="E719" s="134">
        <v>784.93925925925919</v>
      </c>
      <c r="F719" s="1"/>
      <c r="G719" s="1"/>
      <c r="H719" s="2"/>
    </row>
    <row r="720" spans="1:8" ht="10.5" customHeight="1" x14ac:dyDescent="0.25">
      <c r="A720" s="131"/>
      <c r="B720" s="131" t="s">
        <v>125</v>
      </c>
      <c r="C720" s="136">
        <f>H301</f>
        <v>7060122</v>
      </c>
      <c r="D720" s="135" t="s">
        <v>123</v>
      </c>
      <c r="E720" s="134">
        <v>2956.5</v>
      </c>
      <c r="F720" s="1"/>
      <c r="G720" s="1"/>
      <c r="H720" s="2"/>
    </row>
    <row r="721" spans="1:8" ht="10.5" customHeight="1" x14ac:dyDescent="0.25">
      <c r="A721" s="131"/>
      <c r="B721" s="131" t="s">
        <v>126</v>
      </c>
      <c r="C721" s="136">
        <f>H306</f>
        <v>567817.10526315798</v>
      </c>
      <c r="D721" s="135"/>
      <c r="E721" s="134"/>
      <c r="F721" s="1"/>
      <c r="G721" s="1"/>
      <c r="H721" s="2"/>
    </row>
    <row r="722" spans="1:8" ht="10.5" customHeight="1" x14ac:dyDescent="0.25">
      <c r="A722" s="131"/>
      <c r="B722" s="131" t="s">
        <v>127</v>
      </c>
      <c r="C722" s="136">
        <f>H315</f>
        <v>-353006.10000000003</v>
      </c>
      <c r="D722" s="135"/>
      <c r="E722" s="134"/>
    </row>
    <row r="723" spans="1:8" ht="10.5" customHeight="1" x14ac:dyDescent="0.25">
      <c r="A723" s="131"/>
      <c r="B723" s="131" t="s">
        <v>128</v>
      </c>
      <c r="C723" s="136">
        <f>H325</f>
        <v>-2687967.9941644734</v>
      </c>
      <c r="D723" s="131"/>
      <c r="E723" s="131"/>
    </row>
    <row r="724" spans="1:8" ht="10.5" customHeight="1" x14ac:dyDescent="0.25">
      <c r="A724" s="131"/>
      <c r="B724" s="131" t="s">
        <v>129</v>
      </c>
      <c r="C724" s="134">
        <f>SUM(C718:C723)</f>
        <v>5140760.8563450007</v>
      </c>
      <c r="D724" s="131"/>
      <c r="E724" s="131"/>
    </row>
    <row r="725" spans="1:8" ht="10.5" customHeight="1" x14ac:dyDescent="0.25">
      <c r="A725" s="131"/>
      <c r="B725" s="131"/>
      <c r="C725" s="131"/>
      <c r="D725" s="131"/>
      <c r="E725" s="131"/>
    </row>
    <row r="726" spans="1:8" ht="10.5" customHeight="1" x14ac:dyDescent="0.25">
      <c r="A726" s="131"/>
      <c r="B726" s="133" t="s">
        <v>130</v>
      </c>
      <c r="C726" s="131"/>
      <c r="D726" s="131"/>
      <c r="E726" s="131"/>
    </row>
    <row r="727" spans="1:8" ht="10.5" customHeight="1" x14ac:dyDescent="0.25">
      <c r="A727" s="131"/>
      <c r="B727" s="131" t="s">
        <v>131</v>
      </c>
      <c r="C727" s="136">
        <f>H339+H341</f>
        <v>68382844.894736856</v>
      </c>
      <c r="D727" s="131"/>
      <c r="E727" s="131"/>
    </row>
    <row r="728" spans="1:8" ht="10.5" customHeight="1" x14ac:dyDescent="0.25">
      <c r="A728" s="131"/>
      <c r="B728" s="131" t="s">
        <v>132</v>
      </c>
      <c r="C728" s="136">
        <f>H337</f>
        <v>3526250</v>
      </c>
      <c r="D728" s="131"/>
      <c r="E728" s="131"/>
    </row>
    <row r="729" spans="1:8" ht="10.5" customHeight="1" x14ac:dyDescent="0.25">
      <c r="A729" s="131"/>
      <c r="B729" s="131" t="s">
        <v>133</v>
      </c>
      <c r="C729" s="136">
        <f>H342</f>
        <v>12400000</v>
      </c>
      <c r="D729" s="131"/>
      <c r="E729" s="131"/>
    </row>
    <row r="730" spans="1:8" ht="10.5" customHeight="1" x14ac:dyDescent="0.25">
      <c r="A730" s="131"/>
      <c r="B730" s="131" t="s">
        <v>113</v>
      </c>
      <c r="C730" s="136">
        <f>H338</f>
        <v>0</v>
      </c>
      <c r="D730" s="131"/>
      <c r="E730" s="131"/>
    </row>
    <row r="731" spans="1:8" ht="10.5" customHeight="1" x14ac:dyDescent="0.25">
      <c r="A731" s="131"/>
      <c r="B731" s="131" t="s">
        <v>134</v>
      </c>
      <c r="C731" s="136">
        <f>SUM(C727:C730)</f>
        <v>84309094.894736856</v>
      </c>
      <c r="D731" s="135" t="s">
        <v>135</v>
      </c>
      <c r="E731" s="136">
        <f>C731/C712</f>
        <v>334078.45898767444</v>
      </c>
    </row>
    <row r="732" spans="1:8" ht="10.5" customHeight="1" x14ac:dyDescent="0.25">
      <c r="A732" s="131"/>
      <c r="B732" s="131"/>
      <c r="C732" s="131"/>
      <c r="D732" s="131"/>
      <c r="E732" s="131"/>
    </row>
    <row r="733" spans="1:8" ht="10.5" customHeight="1" x14ac:dyDescent="0.25">
      <c r="A733" s="131"/>
      <c r="B733" s="133" t="s">
        <v>136</v>
      </c>
      <c r="C733" s="137">
        <f>C724/C731</f>
        <v>6.0975163625744504E-2</v>
      </c>
      <c r="D733" s="131"/>
      <c r="E733" s="131"/>
    </row>
    <row r="734" spans="1:8" ht="10.5" customHeight="1" x14ac:dyDescent="0.25">
      <c r="A734" s="131"/>
      <c r="B734" s="131"/>
      <c r="C734" s="131"/>
      <c r="D734" s="131"/>
      <c r="E734" s="131"/>
    </row>
    <row r="735" spans="1:8" ht="10.5" hidden="1" customHeight="1" x14ac:dyDescent="0.25">
      <c r="A735" s="131"/>
      <c r="B735" s="131"/>
      <c r="C735" s="131"/>
      <c r="D735" s="131"/>
      <c r="E735" s="131"/>
    </row>
    <row r="736" spans="1:8" ht="10.5" hidden="1" customHeight="1" x14ac:dyDescent="0.25">
      <c r="A736" s="131"/>
      <c r="B736" s="131"/>
      <c r="C736" s="131"/>
      <c r="D736" s="131"/>
      <c r="E736" s="131"/>
    </row>
    <row r="737" spans="1:5" ht="10.5" hidden="1" customHeight="1" x14ac:dyDescent="0.25">
      <c r="A737" s="131"/>
      <c r="B737" s="131"/>
      <c r="C737" s="131"/>
      <c r="D737" s="131"/>
      <c r="E737" s="131"/>
    </row>
    <row r="738" spans="1:5" ht="10.5" hidden="1" customHeight="1" x14ac:dyDescent="0.25">
      <c r="A738" s="131"/>
      <c r="B738" s="131"/>
      <c r="C738" s="131"/>
      <c r="D738" s="131"/>
      <c r="E738" s="131"/>
    </row>
    <row r="739" spans="1:5" ht="10.5" hidden="1" customHeight="1" x14ac:dyDescent="0.25">
      <c r="A739" s="131"/>
      <c r="B739" s="131"/>
      <c r="C739" s="131"/>
      <c r="D739" s="131"/>
      <c r="E739" s="131"/>
    </row>
    <row r="740" spans="1:5" ht="10.5" hidden="1" customHeight="1" x14ac:dyDescent="0.25">
      <c r="A740" s="131"/>
      <c r="B740" s="131"/>
      <c r="C740" s="131"/>
      <c r="D740" s="131"/>
      <c r="E740" s="131"/>
    </row>
    <row r="741" spans="1:5" ht="10.5" hidden="1" customHeight="1" x14ac:dyDescent="0.25">
      <c r="A741" s="131"/>
      <c r="B741" s="131"/>
      <c r="C741" s="131"/>
      <c r="D741" s="131"/>
      <c r="E741" s="131"/>
    </row>
    <row r="742" spans="1:5" ht="10.5" hidden="1" customHeight="1" x14ac:dyDescent="0.25">
      <c r="A742" s="131"/>
      <c r="B742" s="131"/>
      <c r="C742" s="131"/>
      <c r="D742" s="131"/>
      <c r="E742" s="131"/>
    </row>
    <row r="743" spans="1:5" ht="10.5" hidden="1" customHeight="1" x14ac:dyDescent="0.25">
      <c r="A743" s="131"/>
      <c r="B743" s="131"/>
      <c r="C743" s="131"/>
      <c r="D743" s="131"/>
      <c r="E743" s="131"/>
    </row>
    <row r="744" spans="1:5" ht="10.5" hidden="1" customHeight="1" x14ac:dyDescent="0.25">
      <c r="A744" s="131"/>
      <c r="B744" s="131"/>
      <c r="C744" s="131"/>
      <c r="D744" s="131"/>
      <c r="E744" s="131"/>
    </row>
    <row r="745" spans="1:5" ht="10.5" hidden="1" customHeight="1" x14ac:dyDescent="0.25">
      <c r="A745" s="131"/>
      <c r="B745" s="131"/>
      <c r="C745" s="131"/>
      <c r="D745" s="131"/>
      <c r="E745" s="131"/>
    </row>
    <row r="746" spans="1:5" ht="10.5" hidden="1" customHeight="1" x14ac:dyDescent="0.25">
      <c r="A746" s="131"/>
      <c r="B746" s="131"/>
      <c r="C746" s="131"/>
      <c r="D746" s="131"/>
      <c r="E746" s="131"/>
    </row>
    <row r="747" spans="1:5" ht="10.5" hidden="1" customHeight="1" x14ac:dyDescent="0.25">
      <c r="A747" s="131"/>
      <c r="B747" s="131"/>
      <c r="C747" s="131"/>
      <c r="D747" s="131"/>
      <c r="E747" s="131"/>
    </row>
    <row r="748" spans="1:5" ht="10.5" hidden="1" customHeight="1" x14ac:dyDescent="0.25">
      <c r="A748" s="131"/>
      <c r="B748" s="131"/>
      <c r="C748" s="131"/>
      <c r="D748" s="131"/>
      <c r="E748" s="131"/>
    </row>
    <row r="749" spans="1:5" ht="10.5" hidden="1" customHeight="1" x14ac:dyDescent="0.25">
      <c r="A749" s="131"/>
      <c r="B749" s="131"/>
      <c r="C749" s="131"/>
      <c r="D749" s="131"/>
      <c r="E749" s="131"/>
    </row>
    <row r="750" spans="1:5" ht="10.5" hidden="1" customHeight="1" x14ac:dyDescent="0.25">
      <c r="A750" s="131"/>
      <c r="B750" s="131"/>
      <c r="C750" s="131"/>
      <c r="D750" s="131"/>
      <c r="E750" s="131"/>
    </row>
    <row r="751" spans="1:5" ht="10.5" hidden="1" customHeight="1" x14ac:dyDescent="0.25">
      <c r="A751" s="131"/>
      <c r="B751" s="131"/>
      <c r="C751" s="131"/>
      <c r="D751" s="131"/>
      <c r="E751" s="131"/>
    </row>
    <row r="752" spans="1:5" ht="10.5" hidden="1" customHeight="1" x14ac:dyDescent="0.25">
      <c r="A752" s="131"/>
      <c r="B752" s="131"/>
      <c r="C752" s="131"/>
      <c r="D752" s="131"/>
      <c r="E752" s="131"/>
    </row>
    <row r="753" spans="1:5" ht="10.5" hidden="1" customHeight="1" x14ac:dyDescent="0.25">
      <c r="A753" s="131"/>
      <c r="B753" s="131"/>
      <c r="C753" s="131"/>
      <c r="D753" s="131"/>
      <c r="E753" s="131"/>
    </row>
    <row r="754" spans="1:5" ht="10.5" hidden="1" customHeight="1" x14ac:dyDescent="0.25">
      <c r="A754" s="131"/>
      <c r="B754" s="131"/>
      <c r="C754" s="131"/>
      <c r="D754" s="131"/>
      <c r="E754" s="131"/>
    </row>
    <row r="755" spans="1:5" ht="10.5" hidden="1" customHeight="1" x14ac:dyDescent="0.25">
      <c r="A755" s="131"/>
      <c r="B755" s="131"/>
      <c r="C755" s="131"/>
      <c r="D755" s="131"/>
      <c r="E755" s="131"/>
    </row>
    <row r="756" spans="1:5" ht="10.5" hidden="1" customHeight="1" x14ac:dyDescent="0.25">
      <c r="A756" s="131"/>
      <c r="B756" s="131"/>
      <c r="C756" s="131"/>
      <c r="D756" s="131"/>
      <c r="E756" s="131"/>
    </row>
    <row r="757" spans="1:5" ht="10.5" hidden="1" customHeight="1" x14ac:dyDescent="0.25">
      <c r="A757" s="131"/>
      <c r="B757" s="131"/>
      <c r="C757" s="131"/>
      <c r="D757" s="131"/>
      <c r="E757" s="131"/>
    </row>
    <row r="758" spans="1:5" ht="10.5" hidden="1" customHeight="1" x14ac:dyDescent="0.25">
      <c r="A758" s="131"/>
      <c r="B758" s="131"/>
      <c r="C758" s="131"/>
      <c r="D758" s="131"/>
      <c r="E758" s="131"/>
    </row>
    <row r="759" spans="1:5" ht="10.5" hidden="1" customHeight="1" x14ac:dyDescent="0.25">
      <c r="A759" s="131"/>
      <c r="B759" s="131"/>
      <c r="C759" s="131"/>
      <c r="D759" s="131"/>
      <c r="E759" s="131"/>
    </row>
    <row r="760" spans="1:5" ht="10.5" hidden="1" customHeight="1" x14ac:dyDescent="0.25">
      <c r="A760" s="131"/>
      <c r="B760" s="131"/>
      <c r="C760" s="131"/>
      <c r="D760" s="131"/>
      <c r="E760" s="131"/>
    </row>
    <row r="761" spans="1:5" ht="10.5" hidden="1" customHeight="1" x14ac:dyDescent="0.25">
      <c r="A761" s="131"/>
      <c r="B761" s="131"/>
      <c r="C761" s="131"/>
      <c r="D761" s="131"/>
      <c r="E761" s="131"/>
    </row>
    <row r="762" spans="1:5" ht="10.5" hidden="1" customHeight="1" x14ac:dyDescent="0.25">
      <c r="A762" s="131"/>
      <c r="B762" s="131"/>
      <c r="C762" s="131"/>
      <c r="D762" s="131"/>
      <c r="E762" s="131"/>
    </row>
    <row r="763" spans="1:5" ht="10.5" hidden="1" customHeight="1" x14ac:dyDescent="0.25">
      <c r="A763" s="131"/>
      <c r="B763" s="131"/>
      <c r="C763" s="131"/>
      <c r="D763" s="131"/>
      <c r="E763" s="131"/>
    </row>
    <row r="764" spans="1:5" ht="10.5" hidden="1" customHeight="1" x14ac:dyDescent="0.25">
      <c r="A764" s="131"/>
      <c r="B764" s="131"/>
      <c r="C764" s="131"/>
      <c r="D764" s="131"/>
      <c r="E764" s="131"/>
    </row>
    <row r="765" spans="1:5" ht="10.5" hidden="1" customHeight="1" x14ac:dyDescent="0.25">
      <c r="A765" s="131"/>
      <c r="B765" s="131"/>
      <c r="C765" s="131"/>
      <c r="D765" s="131"/>
      <c r="E765" s="131"/>
    </row>
    <row r="766" spans="1:5" ht="10.5" hidden="1" customHeight="1" x14ac:dyDescent="0.25">
      <c r="A766" s="131"/>
      <c r="B766" s="131"/>
      <c r="C766" s="131"/>
      <c r="D766" s="131"/>
      <c r="E766" s="131"/>
    </row>
    <row r="767" spans="1:5" ht="10.5" hidden="1" customHeight="1" x14ac:dyDescent="0.25">
      <c r="A767" s="131"/>
      <c r="B767" s="131"/>
      <c r="C767" s="131"/>
      <c r="D767" s="131"/>
      <c r="E767" s="131"/>
    </row>
    <row r="768" spans="1:5" ht="10.5" hidden="1" customHeight="1" x14ac:dyDescent="0.25">
      <c r="A768" s="131"/>
      <c r="B768" s="131"/>
      <c r="C768" s="131"/>
      <c r="D768" s="131"/>
      <c r="E768" s="131"/>
    </row>
    <row r="769" spans="1:8" ht="10.5" hidden="1" customHeight="1" x14ac:dyDescent="0.25">
      <c r="A769" s="131"/>
      <c r="B769" s="131"/>
      <c r="C769" s="131"/>
      <c r="D769" s="131"/>
      <c r="E769" s="131"/>
    </row>
    <row r="770" spans="1:8" ht="10.5" hidden="1" customHeight="1" x14ac:dyDescent="0.25">
      <c r="A770" s="131"/>
      <c r="B770" s="131"/>
      <c r="C770" s="131"/>
      <c r="D770" s="131"/>
      <c r="E770" s="131"/>
      <c r="F770" s="1"/>
      <c r="G770" s="1"/>
      <c r="H770" s="2"/>
    </row>
    <row r="771" spans="1:8" ht="10.5" hidden="1" customHeight="1" x14ac:dyDescent="0.25">
      <c r="A771" s="131"/>
      <c r="B771" s="131"/>
      <c r="C771" s="131"/>
      <c r="D771" s="131"/>
      <c r="E771" s="131"/>
      <c r="F771" s="1"/>
      <c r="G771" s="1"/>
      <c r="H771" s="2"/>
    </row>
    <row r="772" spans="1:8" ht="10.5" hidden="1" customHeight="1" x14ac:dyDescent="0.25">
      <c r="A772" s="131"/>
      <c r="B772" s="131"/>
      <c r="C772" s="131"/>
      <c r="D772" s="131"/>
      <c r="E772" s="131"/>
      <c r="F772" s="1"/>
      <c r="G772" s="1"/>
      <c r="H772" s="2"/>
    </row>
    <row r="773" spans="1:8" ht="10.5" hidden="1" customHeight="1" x14ac:dyDescent="0.25">
      <c r="A773" s="131"/>
      <c r="B773" s="131"/>
      <c r="C773" s="131"/>
      <c r="D773" s="131"/>
      <c r="E773" s="131"/>
      <c r="F773" s="1"/>
      <c r="G773" s="1"/>
      <c r="H773" s="2"/>
    </row>
    <row r="774" spans="1:8" ht="10.5" hidden="1" customHeight="1" x14ac:dyDescent="0.25">
      <c r="A774" s="131"/>
      <c r="B774" s="131"/>
      <c r="C774" s="131"/>
      <c r="D774" s="131"/>
      <c r="E774" s="131"/>
      <c r="F774" s="1"/>
      <c r="G774" s="1"/>
      <c r="H774" s="2"/>
    </row>
    <row r="775" spans="1:8" ht="10.5" hidden="1" customHeight="1" x14ac:dyDescent="0.25">
      <c r="A775" s="131"/>
      <c r="B775" s="131"/>
      <c r="C775" s="131"/>
      <c r="D775" s="131"/>
      <c r="E775" s="131"/>
      <c r="F775" s="1"/>
      <c r="G775" s="1"/>
      <c r="H775" s="2"/>
    </row>
    <row r="776" spans="1:8" s="129" customFormat="1" ht="12.95" customHeight="1" x14ac:dyDescent="0.25">
      <c r="A776" s="126"/>
      <c r="B776" s="127" t="s">
        <v>114</v>
      </c>
      <c r="C776" s="128" t="str">
        <f>A352</f>
        <v>Bonus 6.0 FAR</v>
      </c>
      <c r="D776" s="126"/>
      <c r="E776" s="126"/>
      <c r="H776" s="130"/>
    </row>
    <row r="777" spans="1:8" ht="10.5" customHeight="1" x14ac:dyDescent="0.25">
      <c r="A777" s="131"/>
      <c r="B777" s="131" t="s">
        <v>115</v>
      </c>
      <c r="C777" s="132">
        <f>H351</f>
        <v>38850</v>
      </c>
      <c r="D777" s="131"/>
      <c r="E777" s="131"/>
      <c r="F777" s="1"/>
      <c r="G777" s="1"/>
      <c r="H777" s="2"/>
    </row>
    <row r="778" spans="1:8" ht="10.5" customHeight="1" x14ac:dyDescent="0.25">
      <c r="A778" s="131"/>
      <c r="B778" s="131" t="s">
        <v>116</v>
      </c>
      <c r="C778" s="132">
        <f>H353</f>
        <v>247245</v>
      </c>
      <c r="D778" s="131"/>
      <c r="E778" s="131"/>
      <c r="F778" s="1"/>
      <c r="G778" s="1"/>
      <c r="H778" s="2"/>
    </row>
    <row r="779" spans="1:8" ht="10.5" customHeight="1" x14ac:dyDescent="0.25">
      <c r="A779" s="131"/>
      <c r="B779" s="131" t="s">
        <v>117</v>
      </c>
      <c r="C779" s="132">
        <f>G354</f>
        <v>950</v>
      </c>
      <c r="D779" s="131"/>
      <c r="E779" s="131"/>
      <c r="F779" s="1"/>
      <c r="G779" s="1"/>
      <c r="H779" s="2"/>
    </row>
    <row r="780" spans="1:8" ht="10.5" customHeight="1" x14ac:dyDescent="0.25">
      <c r="A780" s="131"/>
      <c r="B780" s="131" t="s">
        <v>107</v>
      </c>
      <c r="C780" s="132">
        <f>H354</f>
        <v>260.2578947368421</v>
      </c>
      <c r="D780" s="131"/>
      <c r="E780" s="131"/>
      <c r="F780" s="1"/>
      <c r="G780" s="1"/>
      <c r="H780" s="2"/>
    </row>
    <row r="781" spans="1:8" ht="10.5" customHeight="1" x14ac:dyDescent="0.25">
      <c r="A781" s="131"/>
      <c r="B781" s="131" t="s">
        <v>118</v>
      </c>
      <c r="C781" s="132">
        <f>H356</f>
        <v>10.632631578947368</v>
      </c>
      <c r="D781" s="131"/>
      <c r="E781" s="131"/>
      <c r="F781" s="1"/>
      <c r="G781" s="1"/>
      <c r="H781" s="2"/>
    </row>
    <row r="782" spans="1:8" ht="10.5" customHeight="1" x14ac:dyDescent="0.25">
      <c r="A782" s="131"/>
      <c r="B782" s="131" t="s">
        <v>119</v>
      </c>
      <c r="C782" s="132">
        <f>H358</f>
        <v>58.819105263157901</v>
      </c>
      <c r="D782" s="131"/>
      <c r="E782" s="131"/>
      <c r="F782" s="1"/>
      <c r="G782" s="1"/>
      <c r="H782" s="2"/>
    </row>
    <row r="783" spans="1:8" ht="10.5" customHeight="1" x14ac:dyDescent="0.25">
      <c r="A783" s="131"/>
      <c r="B783" s="131" t="s">
        <v>120</v>
      </c>
      <c r="C783" s="132">
        <f>H361</f>
        <v>0</v>
      </c>
      <c r="D783" s="131"/>
      <c r="E783" s="131"/>
      <c r="F783" s="1"/>
      <c r="G783" s="1"/>
      <c r="H783" s="2"/>
    </row>
    <row r="784" spans="1:8" ht="10.5" customHeight="1" x14ac:dyDescent="0.25">
      <c r="A784" s="131"/>
      <c r="B784" s="131"/>
      <c r="C784" s="132"/>
      <c r="D784" s="131"/>
      <c r="E784" s="131"/>
      <c r="F784" s="1"/>
      <c r="G784" s="1"/>
      <c r="H784" s="2"/>
    </row>
    <row r="785" spans="1:8" ht="10.5" customHeight="1" x14ac:dyDescent="0.25">
      <c r="A785" s="131"/>
      <c r="B785" s="133" t="s">
        <v>121</v>
      </c>
      <c r="C785" s="132"/>
      <c r="D785" s="131"/>
      <c r="E785" s="131"/>
      <c r="F785" s="1"/>
      <c r="G785" s="1"/>
      <c r="H785" s="2"/>
    </row>
    <row r="786" spans="1:8" ht="10.5" customHeight="1" x14ac:dyDescent="0.25">
      <c r="A786" s="131"/>
      <c r="B786" s="131" t="s">
        <v>122</v>
      </c>
      <c r="C786" s="134">
        <f>H370</f>
        <v>140128.72749473684</v>
      </c>
      <c r="D786" s="135" t="s">
        <v>123</v>
      </c>
      <c r="E786" s="134">
        <v>1098.26</v>
      </c>
    </row>
    <row r="787" spans="1:8" ht="10.5" customHeight="1" x14ac:dyDescent="0.25">
      <c r="A787" s="131"/>
      <c r="B787" s="131" t="s">
        <v>124</v>
      </c>
      <c r="C787" s="134">
        <f>H371</f>
        <v>453881.45952000003</v>
      </c>
      <c r="D787" s="135" t="s">
        <v>123</v>
      </c>
      <c r="E787" s="134">
        <v>784.93925925925919</v>
      </c>
    </row>
    <row r="788" spans="1:8" ht="10.5" customHeight="1" x14ac:dyDescent="0.25">
      <c r="A788" s="131"/>
      <c r="B788" s="131" t="s">
        <v>125</v>
      </c>
      <c r="C788" s="136">
        <f>H369</f>
        <v>7131078</v>
      </c>
      <c r="D788" s="135" t="s">
        <v>123</v>
      </c>
      <c r="E788" s="134">
        <v>2956.5</v>
      </c>
    </row>
    <row r="789" spans="1:8" ht="10.5" customHeight="1" x14ac:dyDescent="0.25">
      <c r="A789" s="131"/>
      <c r="B789" s="131" t="s">
        <v>126</v>
      </c>
      <c r="C789" s="136">
        <f>H374</f>
        <v>585580.26315789472</v>
      </c>
      <c r="D789" s="135"/>
      <c r="E789" s="134"/>
    </row>
    <row r="790" spans="1:8" ht="10.5" customHeight="1" x14ac:dyDescent="0.25">
      <c r="A790" s="131"/>
      <c r="B790" s="131" t="s">
        <v>127</v>
      </c>
      <c r="C790" s="136">
        <f>H383</f>
        <v>-356553.9</v>
      </c>
      <c r="D790" s="135"/>
      <c r="E790" s="134"/>
    </row>
    <row r="791" spans="1:8" ht="10.5" customHeight="1" x14ac:dyDescent="0.25">
      <c r="A791" s="131"/>
      <c r="B791" s="131" t="s">
        <v>128</v>
      </c>
      <c r="C791" s="136">
        <f>H393</f>
        <v>-2753572.46458421</v>
      </c>
      <c r="D791" s="131"/>
      <c r="E791" s="131"/>
    </row>
    <row r="792" spans="1:8" ht="10.5" customHeight="1" x14ac:dyDescent="0.25">
      <c r="A792" s="131"/>
      <c r="B792" s="131" t="s">
        <v>129</v>
      </c>
      <c r="C792" s="134">
        <f>SUM(C786:C791)</f>
        <v>5200542.0855884217</v>
      </c>
      <c r="D792" s="131"/>
      <c r="E792" s="131"/>
    </row>
    <row r="793" spans="1:8" ht="10.5" customHeight="1" x14ac:dyDescent="0.25">
      <c r="A793" s="131"/>
      <c r="B793" s="131"/>
      <c r="C793" s="131"/>
      <c r="D793" s="131"/>
      <c r="E793" s="131"/>
    </row>
    <row r="794" spans="1:8" ht="10.5" customHeight="1" x14ac:dyDescent="0.25">
      <c r="A794" s="131"/>
      <c r="B794" s="133" t="s">
        <v>130</v>
      </c>
      <c r="C794" s="131"/>
      <c r="D794" s="131"/>
      <c r="E794" s="131"/>
    </row>
    <row r="795" spans="1:8" ht="10.5" customHeight="1" x14ac:dyDescent="0.25">
      <c r="A795" s="131"/>
      <c r="B795" s="131" t="s">
        <v>131</v>
      </c>
      <c r="C795" s="136">
        <f>H407+H409</f>
        <v>70522081.736842111</v>
      </c>
      <c r="D795" s="131"/>
      <c r="E795" s="131"/>
    </row>
    <row r="796" spans="1:8" ht="10.5" customHeight="1" x14ac:dyDescent="0.25">
      <c r="A796" s="131"/>
      <c r="B796" s="131" t="s">
        <v>132</v>
      </c>
      <c r="C796" s="136">
        <f>H405</f>
        <v>2719500</v>
      </c>
      <c r="D796" s="131"/>
      <c r="E796" s="131"/>
    </row>
    <row r="797" spans="1:8" ht="10.5" customHeight="1" x14ac:dyDescent="0.25">
      <c r="A797" s="131"/>
      <c r="B797" s="131" t="s">
        <v>133</v>
      </c>
      <c r="C797" s="136">
        <f>H410</f>
        <v>12700000</v>
      </c>
      <c r="D797" s="131"/>
      <c r="E797" s="131"/>
    </row>
    <row r="798" spans="1:8" ht="10.5" customHeight="1" x14ac:dyDescent="0.25">
      <c r="A798" s="131"/>
      <c r="B798" s="131" t="s">
        <v>113</v>
      </c>
      <c r="C798" s="136">
        <f>H406</f>
        <v>0</v>
      </c>
      <c r="D798" s="131"/>
      <c r="E798" s="131"/>
    </row>
    <row r="799" spans="1:8" ht="10.5" customHeight="1" x14ac:dyDescent="0.25">
      <c r="A799" s="131"/>
      <c r="B799" s="131" t="s">
        <v>134</v>
      </c>
      <c r="C799" s="136">
        <f>SUM(C795:C798)</f>
        <v>85941581.736842111</v>
      </c>
      <c r="D799" s="135" t="s">
        <v>135</v>
      </c>
      <c r="E799" s="136">
        <f>C799/C780</f>
        <v>330217.00196161703</v>
      </c>
    </row>
    <row r="800" spans="1:8" ht="10.5" customHeight="1" x14ac:dyDescent="0.25">
      <c r="A800" s="131"/>
      <c r="B800" s="131"/>
      <c r="C800" s="131"/>
      <c r="D800" s="131"/>
      <c r="E800" s="131"/>
    </row>
    <row r="801" spans="1:5" ht="10.5" customHeight="1" x14ac:dyDescent="0.25">
      <c r="A801" s="131"/>
      <c r="B801" s="133" t="s">
        <v>136</v>
      </c>
      <c r="C801" s="137">
        <f>C792/C799</f>
        <v>6.051252467650374E-2</v>
      </c>
      <c r="D801" s="131"/>
      <c r="E801" s="131"/>
    </row>
    <row r="802" spans="1:5" x14ac:dyDescent="0.25">
      <c r="B802" s="118"/>
      <c r="C802" s="139"/>
    </row>
    <row r="803" spans="1:5" x14ac:dyDescent="0.25">
      <c r="B803" s="118"/>
      <c r="C803" s="139"/>
    </row>
    <row r="804" spans="1:5" x14ac:dyDescent="0.25">
      <c r="B804" s="118"/>
      <c r="C804" s="139"/>
    </row>
    <row r="805" spans="1:5" x14ac:dyDescent="0.25">
      <c r="B805" s="1"/>
      <c r="C805" s="1"/>
    </row>
  </sheetData>
  <autoFilter ref="A1:H416"/>
  <pageMargins left="0.7" right="0.7" top="0.75" bottom="0.75" header="0.3" footer="0.3"/>
  <pageSetup scale="68" orientation="portrait" horizontalDpi="1200" verticalDpi="1200" r:id="rId1"/>
  <headerFooter>
    <oddFooter>&amp;L&amp;A&amp;C&amp;F&amp;R&amp;P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5"/>
  <sheetViews>
    <sheetView workbookViewId="0">
      <pane ySplit="1" topLeftCell="A657" activePane="bottomLeft" state="frozen"/>
      <selection pane="bottomLeft" activeCell="H719" sqref="H719"/>
    </sheetView>
  </sheetViews>
  <sheetFormatPr defaultRowHeight="15" x14ac:dyDescent="0.25"/>
  <cols>
    <col min="1" max="1" width="2.28515625" customWidth="1"/>
    <col min="2" max="2" width="31.28515625" customWidth="1"/>
    <col min="3" max="3" width="18.7109375" customWidth="1"/>
    <col min="4" max="4" width="9.28515625" customWidth="1"/>
    <col min="5" max="5" width="7.5703125" customWidth="1"/>
    <col min="6" max="6" width="12.5703125" customWidth="1"/>
    <col min="7" max="7" width="17.28515625" customWidth="1"/>
    <col min="8" max="8" width="19" customWidth="1"/>
    <col min="10" max="10" width="13" customWidth="1"/>
    <col min="11" max="11" width="12.42578125" customWidth="1"/>
    <col min="258" max="258" width="2.28515625" customWidth="1"/>
    <col min="259" max="259" width="16.5703125" customWidth="1"/>
    <col min="260" max="260" width="16" customWidth="1"/>
    <col min="261" max="261" width="14" customWidth="1"/>
    <col min="262" max="262" width="16" customWidth="1"/>
    <col min="263" max="263" width="15.85546875" customWidth="1"/>
    <col min="264" max="264" width="19" customWidth="1"/>
    <col min="267" max="267" width="10.7109375" bestFit="1" customWidth="1"/>
    <col min="514" max="514" width="2.28515625" customWidth="1"/>
    <col min="515" max="515" width="16.5703125" customWidth="1"/>
    <col min="516" max="516" width="16" customWidth="1"/>
    <col min="517" max="517" width="14" customWidth="1"/>
    <col min="518" max="518" width="16" customWidth="1"/>
    <col min="519" max="519" width="15.85546875" customWidth="1"/>
    <col min="520" max="520" width="19" customWidth="1"/>
    <col min="523" max="523" width="10.7109375" bestFit="1" customWidth="1"/>
    <col min="770" max="770" width="2.28515625" customWidth="1"/>
    <col min="771" max="771" width="16.5703125" customWidth="1"/>
    <col min="772" max="772" width="16" customWidth="1"/>
    <col min="773" max="773" width="14" customWidth="1"/>
    <col min="774" max="774" width="16" customWidth="1"/>
    <col min="775" max="775" width="15.85546875" customWidth="1"/>
    <col min="776" max="776" width="19" customWidth="1"/>
    <col min="779" max="779" width="10.7109375" bestFit="1" customWidth="1"/>
    <col min="1026" max="1026" width="2.28515625" customWidth="1"/>
    <col min="1027" max="1027" width="16.5703125" customWidth="1"/>
    <col min="1028" max="1028" width="16" customWidth="1"/>
    <col min="1029" max="1029" width="14" customWidth="1"/>
    <col min="1030" max="1030" width="16" customWidth="1"/>
    <col min="1031" max="1031" width="15.85546875" customWidth="1"/>
    <col min="1032" max="1032" width="19" customWidth="1"/>
    <col min="1035" max="1035" width="10.7109375" bestFit="1" customWidth="1"/>
    <col min="1282" max="1282" width="2.28515625" customWidth="1"/>
    <col min="1283" max="1283" width="16.5703125" customWidth="1"/>
    <col min="1284" max="1284" width="16" customWidth="1"/>
    <col min="1285" max="1285" width="14" customWidth="1"/>
    <col min="1286" max="1286" width="16" customWidth="1"/>
    <col min="1287" max="1287" width="15.85546875" customWidth="1"/>
    <col min="1288" max="1288" width="19" customWidth="1"/>
    <col min="1291" max="1291" width="10.7109375" bestFit="1" customWidth="1"/>
    <col min="1538" max="1538" width="2.28515625" customWidth="1"/>
    <col min="1539" max="1539" width="16.5703125" customWidth="1"/>
    <col min="1540" max="1540" width="16" customWidth="1"/>
    <col min="1541" max="1541" width="14" customWidth="1"/>
    <col min="1542" max="1542" width="16" customWidth="1"/>
    <col min="1543" max="1543" width="15.85546875" customWidth="1"/>
    <col min="1544" max="1544" width="19" customWidth="1"/>
    <col min="1547" max="1547" width="10.7109375" bestFit="1" customWidth="1"/>
    <col min="1794" max="1794" width="2.28515625" customWidth="1"/>
    <col min="1795" max="1795" width="16.5703125" customWidth="1"/>
    <col min="1796" max="1796" width="16" customWidth="1"/>
    <col min="1797" max="1797" width="14" customWidth="1"/>
    <col min="1798" max="1798" width="16" customWidth="1"/>
    <col min="1799" max="1799" width="15.85546875" customWidth="1"/>
    <col min="1800" max="1800" width="19" customWidth="1"/>
    <col min="1803" max="1803" width="10.7109375" bestFit="1" customWidth="1"/>
    <col min="2050" max="2050" width="2.28515625" customWidth="1"/>
    <col min="2051" max="2051" width="16.5703125" customWidth="1"/>
    <col min="2052" max="2052" width="16" customWidth="1"/>
    <col min="2053" max="2053" width="14" customWidth="1"/>
    <col min="2054" max="2054" width="16" customWidth="1"/>
    <col min="2055" max="2055" width="15.85546875" customWidth="1"/>
    <col min="2056" max="2056" width="19" customWidth="1"/>
    <col min="2059" max="2059" width="10.7109375" bestFit="1" customWidth="1"/>
    <col min="2306" max="2306" width="2.28515625" customWidth="1"/>
    <col min="2307" max="2307" width="16.5703125" customWidth="1"/>
    <col min="2308" max="2308" width="16" customWidth="1"/>
    <col min="2309" max="2309" width="14" customWidth="1"/>
    <col min="2310" max="2310" width="16" customWidth="1"/>
    <col min="2311" max="2311" width="15.85546875" customWidth="1"/>
    <col min="2312" max="2312" width="19" customWidth="1"/>
    <col min="2315" max="2315" width="10.7109375" bestFit="1" customWidth="1"/>
    <col min="2562" max="2562" width="2.28515625" customWidth="1"/>
    <col min="2563" max="2563" width="16.5703125" customWidth="1"/>
    <col min="2564" max="2564" width="16" customWidth="1"/>
    <col min="2565" max="2565" width="14" customWidth="1"/>
    <col min="2566" max="2566" width="16" customWidth="1"/>
    <col min="2567" max="2567" width="15.85546875" customWidth="1"/>
    <col min="2568" max="2568" width="19" customWidth="1"/>
    <col min="2571" max="2571" width="10.7109375" bestFit="1" customWidth="1"/>
    <col min="2818" max="2818" width="2.28515625" customWidth="1"/>
    <col min="2819" max="2819" width="16.5703125" customWidth="1"/>
    <col min="2820" max="2820" width="16" customWidth="1"/>
    <col min="2821" max="2821" width="14" customWidth="1"/>
    <col min="2822" max="2822" width="16" customWidth="1"/>
    <col min="2823" max="2823" width="15.85546875" customWidth="1"/>
    <col min="2824" max="2824" width="19" customWidth="1"/>
    <col min="2827" max="2827" width="10.7109375" bestFit="1" customWidth="1"/>
    <col min="3074" max="3074" width="2.28515625" customWidth="1"/>
    <col min="3075" max="3075" width="16.5703125" customWidth="1"/>
    <col min="3076" max="3076" width="16" customWidth="1"/>
    <col min="3077" max="3077" width="14" customWidth="1"/>
    <col min="3078" max="3078" width="16" customWidth="1"/>
    <col min="3079" max="3079" width="15.85546875" customWidth="1"/>
    <col min="3080" max="3080" width="19" customWidth="1"/>
    <col min="3083" max="3083" width="10.7109375" bestFit="1" customWidth="1"/>
    <col min="3330" max="3330" width="2.28515625" customWidth="1"/>
    <col min="3331" max="3331" width="16.5703125" customWidth="1"/>
    <col min="3332" max="3332" width="16" customWidth="1"/>
    <col min="3333" max="3333" width="14" customWidth="1"/>
    <col min="3334" max="3334" width="16" customWidth="1"/>
    <col min="3335" max="3335" width="15.85546875" customWidth="1"/>
    <col min="3336" max="3336" width="19" customWidth="1"/>
    <col min="3339" max="3339" width="10.7109375" bestFit="1" customWidth="1"/>
    <col min="3586" max="3586" width="2.28515625" customWidth="1"/>
    <col min="3587" max="3587" width="16.5703125" customWidth="1"/>
    <col min="3588" max="3588" width="16" customWidth="1"/>
    <col min="3589" max="3589" width="14" customWidth="1"/>
    <col min="3590" max="3590" width="16" customWidth="1"/>
    <col min="3591" max="3591" width="15.85546875" customWidth="1"/>
    <col min="3592" max="3592" width="19" customWidth="1"/>
    <col min="3595" max="3595" width="10.7109375" bestFit="1" customWidth="1"/>
    <col min="3842" max="3842" width="2.28515625" customWidth="1"/>
    <col min="3843" max="3843" width="16.5703125" customWidth="1"/>
    <col min="3844" max="3844" width="16" customWidth="1"/>
    <col min="3845" max="3845" width="14" customWidth="1"/>
    <col min="3846" max="3846" width="16" customWidth="1"/>
    <col min="3847" max="3847" width="15.85546875" customWidth="1"/>
    <col min="3848" max="3848" width="19" customWidth="1"/>
    <col min="3851" max="3851" width="10.7109375" bestFit="1" customWidth="1"/>
    <col min="4098" max="4098" width="2.28515625" customWidth="1"/>
    <col min="4099" max="4099" width="16.5703125" customWidth="1"/>
    <col min="4100" max="4100" width="16" customWidth="1"/>
    <col min="4101" max="4101" width="14" customWidth="1"/>
    <col min="4102" max="4102" width="16" customWidth="1"/>
    <col min="4103" max="4103" width="15.85546875" customWidth="1"/>
    <col min="4104" max="4104" width="19" customWidth="1"/>
    <col min="4107" max="4107" width="10.7109375" bestFit="1" customWidth="1"/>
    <col min="4354" max="4354" width="2.28515625" customWidth="1"/>
    <col min="4355" max="4355" width="16.5703125" customWidth="1"/>
    <col min="4356" max="4356" width="16" customWidth="1"/>
    <col min="4357" max="4357" width="14" customWidth="1"/>
    <col min="4358" max="4358" width="16" customWidth="1"/>
    <col min="4359" max="4359" width="15.85546875" customWidth="1"/>
    <col min="4360" max="4360" width="19" customWidth="1"/>
    <col min="4363" max="4363" width="10.7109375" bestFit="1" customWidth="1"/>
    <col min="4610" max="4610" width="2.28515625" customWidth="1"/>
    <col min="4611" max="4611" width="16.5703125" customWidth="1"/>
    <col min="4612" max="4612" width="16" customWidth="1"/>
    <col min="4613" max="4613" width="14" customWidth="1"/>
    <col min="4614" max="4614" width="16" customWidth="1"/>
    <col min="4615" max="4615" width="15.85546875" customWidth="1"/>
    <col min="4616" max="4616" width="19" customWidth="1"/>
    <col min="4619" max="4619" width="10.7109375" bestFit="1" customWidth="1"/>
    <col min="4866" max="4866" width="2.28515625" customWidth="1"/>
    <col min="4867" max="4867" width="16.5703125" customWidth="1"/>
    <col min="4868" max="4868" width="16" customWidth="1"/>
    <col min="4869" max="4869" width="14" customWidth="1"/>
    <col min="4870" max="4870" width="16" customWidth="1"/>
    <col min="4871" max="4871" width="15.85546875" customWidth="1"/>
    <col min="4872" max="4872" width="19" customWidth="1"/>
    <col min="4875" max="4875" width="10.7109375" bestFit="1" customWidth="1"/>
    <col min="5122" max="5122" width="2.28515625" customWidth="1"/>
    <col min="5123" max="5123" width="16.5703125" customWidth="1"/>
    <col min="5124" max="5124" width="16" customWidth="1"/>
    <col min="5125" max="5125" width="14" customWidth="1"/>
    <col min="5126" max="5126" width="16" customWidth="1"/>
    <col min="5127" max="5127" width="15.85546875" customWidth="1"/>
    <col min="5128" max="5128" width="19" customWidth="1"/>
    <col min="5131" max="5131" width="10.7109375" bestFit="1" customWidth="1"/>
    <col min="5378" max="5378" width="2.28515625" customWidth="1"/>
    <col min="5379" max="5379" width="16.5703125" customWidth="1"/>
    <col min="5380" max="5380" width="16" customWidth="1"/>
    <col min="5381" max="5381" width="14" customWidth="1"/>
    <col min="5382" max="5382" width="16" customWidth="1"/>
    <col min="5383" max="5383" width="15.85546875" customWidth="1"/>
    <col min="5384" max="5384" width="19" customWidth="1"/>
    <col min="5387" max="5387" width="10.7109375" bestFit="1" customWidth="1"/>
    <col min="5634" max="5634" width="2.28515625" customWidth="1"/>
    <col min="5635" max="5635" width="16.5703125" customWidth="1"/>
    <col min="5636" max="5636" width="16" customWidth="1"/>
    <col min="5637" max="5637" width="14" customWidth="1"/>
    <col min="5638" max="5638" width="16" customWidth="1"/>
    <col min="5639" max="5639" width="15.85546875" customWidth="1"/>
    <col min="5640" max="5640" width="19" customWidth="1"/>
    <col min="5643" max="5643" width="10.7109375" bestFit="1" customWidth="1"/>
    <col min="5890" max="5890" width="2.28515625" customWidth="1"/>
    <col min="5891" max="5891" width="16.5703125" customWidth="1"/>
    <col min="5892" max="5892" width="16" customWidth="1"/>
    <col min="5893" max="5893" width="14" customWidth="1"/>
    <col min="5894" max="5894" width="16" customWidth="1"/>
    <col min="5895" max="5895" width="15.85546875" customWidth="1"/>
    <col min="5896" max="5896" width="19" customWidth="1"/>
    <col min="5899" max="5899" width="10.7109375" bestFit="1" customWidth="1"/>
    <col min="6146" max="6146" width="2.28515625" customWidth="1"/>
    <col min="6147" max="6147" width="16.5703125" customWidth="1"/>
    <col min="6148" max="6148" width="16" customWidth="1"/>
    <col min="6149" max="6149" width="14" customWidth="1"/>
    <col min="6150" max="6150" width="16" customWidth="1"/>
    <col min="6151" max="6151" width="15.85546875" customWidth="1"/>
    <col min="6152" max="6152" width="19" customWidth="1"/>
    <col min="6155" max="6155" width="10.7109375" bestFit="1" customWidth="1"/>
    <col min="6402" max="6402" width="2.28515625" customWidth="1"/>
    <col min="6403" max="6403" width="16.5703125" customWidth="1"/>
    <col min="6404" max="6404" width="16" customWidth="1"/>
    <col min="6405" max="6405" width="14" customWidth="1"/>
    <col min="6406" max="6406" width="16" customWidth="1"/>
    <col min="6407" max="6407" width="15.85546875" customWidth="1"/>
    <col min="6408" max="6408" width="19" customWidth="1"/>
    <col min="6411" max="6411" width="10.7109375" bestFit="1" customWidth="1"/>
    <col min="6658" max="6658" width="2.28515625" customWidth="1"/>
    <col min="6659" max="6659" width="16.5703125" customWidth="1"/>
    <col min="6660" max="6660" width="16" customWidth="1"/>
    <col min="6661" max="6661" width="14" customWidth="1"/>
    <col min="6662" max="6662" width="16" customWidth="1"/>
    <col min="6663" max="6663" width="15.85546875" customWidth="1"/>
    <col min="6664" max="6664" width="19" customWidth="1"/>
    <col min="6667" max="6667" width="10.7109375" bestFit="1" customWidth="1"/>
    <col min="6914" max="6914" width="2.28515625" customWidth="1"/>
    <col min="6915" max="6915" width="16.5703125" customWidth="1"/>
    <col min="6916" max="6916" width="16" customWidth="1"/>
    <col min="6917" max="6917" width="14" customWidth="1"/>
    <col min="6918" max="6918" width="16" customWidth="1"/>
    <col min="6919" max="6919" width="15.85546875" customWidth="1"/>
    <col min="6920" max="6920" width="19" customWidth="1"/>
    <col min="6923" max="6923" width="10.7109375" bestFit="1" customWidth="1"/>
    <col min="7170" max="7170" width="2.28515625" customWidth="1"/>
    <col min="7171" max="7171" width="16.5703125" customWidth="1"/>
    <col min="7172" max="7172" width="16" customWidth="1"/>
    <col min="7173" max="7173" width="14" customWidth="1"/>
    <col min="7174" max="7174" width="16" customWidth="1"/>
    <col min="7175" max="7175" width="15.85546875" customWidth="1"/>
    <col min="7176" max="7176" width="19" customWidth="1"/>
    <col min="7179" max="7179" width="10.7109375" bestFit="1" customWidth="1"/>
    <col min="7426" max="7426" width="2.28515625" customWidth="1"/>
    <col min="7427" max="7427" width="16.5703125" customWidth="1"/>
    <col min="7428" max="7428" width="16" customWidth="1"/>
    <col min="7429" max="7429" width="14" customWidth="1"/>
    <col min="7430" max="7430" width="16" customWidth="1"/>
    <col min="7431" max="7431" width="15.85546875" customWidth="1"/>
    <col min="7432" max="7432" width="19" customWidth="1"/>
    <col min="7435" max="7435" width="10.7109375" bestFit="1" customWidth="1"/>
    <col min="7682" max="7682" width="2.28515625" customWidth="1"/>
    <col min="7683" max="7683" width="16.5703125" customWidth="1"/>
    <col min="7684" max="7684" width="16" customWidth="1"/>
    <col min="7685" max="7685" width="14" customWidth="1"/>
    <col min="7686" max="7686" width="16" customWidth="1"/>
    <col min="7687" max="7687" width="15.85546875" customWidth="1"/>
    <col min="7688" max="7688" width="19" customWidth="1"/>
    <col min="7691" max="7691" width="10.7109375" bestFit="1" customWidth="1"/>
    <col min="7938" max="7938" width="2.28515625" customWidth="1"/>
    <col min="7939" max="7939" width="16.5703125" customWidth="1"/>
    <col min="7940" max="7940" width="16" customWidth="1"/>
    <col min="7941" max="7941" width="14" customWidth="1"/>
    <col min="7942" max="7942" width="16" customWidth="1"/>
    <col min="7943" max="7943" width="15.85546875" customWidth="1"/>
    <col min="7944" max="7944" width="19" customWidth="1"/>
    <col min="7947" max="7947" width="10.7109375" bestFit="1" customWidth="1"/>
    <col min="8194" max="8194" width="2.28515625" customWidth="1"/>
    <col min="8195" max="8195" width="16.5703125" customWidth="1"/>
    <col min="8196" max="8196" width="16" customWidth="1"/>
    <col min="8197" max="8197" width="14" customWidth="1"/>
    <col min="8198" max="8198" width="16" customWidth="1"/>
    <col min="8199" max="8199" width="15.85546875" customWidth="1"/>
    <col min="8200" max="8200" width="19" customWidth="1"/>
    <col min="8203" max="8203" width="10.7109375" bestFit="1" customWidth="1"/>
    <col min="8450" max="8450" width="2.28515625" customWidth="1"/>
    <col min="8451" max="8451" width="16.5703125" customWidth="1"/>
    <col min="8452" max="8452" width="16" customWidth="1"/>
    <col min="8453" max="8453" width="14" customWidth="1"/>
    <col min="8454" max="8454" width="16" customWidth="1"/>
    <col min="8455" max="8455" width="15.85546875" customWidth="1"/>
    <col min="8456" max="8456" width="19" customWidth="1"/>
    <col min="8459" max="8459" width="10.7109375" bestFit="1" customWidth="1"/>
    <col min="8706" max="8706" width="2.28515625" customWidth="1"/>
    <col min="8707" max="8707" width="16.5703125" customWidth="1"/>
    <col min="8708" max="8708" width="16" customWidth="1"/>
    <col min="8709" max="8709" width="14" customWidth="1"/>
    <col min="8710" max="8710" width="16" customWidth="1"/>
    <col min="8711" max="8711" width="15.85546875" customWidth="1"/>
    <col min="8712" max="8712" width="19" customWidth="1"/>
    <col min="8715" max="8715" width="10.7109375" bestFit="1" customWidth="1"/>
    <col min="8962" max="8962" width="2.28515625" customWidth="1"/>
    <col min="8963" max="8963" width="16.5703125" customWidth="1"/>
    <col min="8964" max="8964" width="16" customWidth="1"/>
    <col min="8965" max="8965" width="14" customWidth="1"/>
    <col min="8966" max="8966" width="16" customWidth="1"/>
    <col min="8967" max="8967" width="15.85546875" customWidth="1"/>
    <col min="8968" max="8968" width="19" customWidth="1"/>
    <col min="8971" max="8971" width="10.7109375" bestFit="1" customWidth="1"/>
    <col min="9218" max="9218" width="2.28515625" customWidth="1"/>
    <col min="9219" max="9219" width="16.5703125" customWidth="1"/>
    <col min="9220" max="9220" width="16" customWidth="1"/>
    <col min="9221" max="9221" width="14" customWidth="1"/>
    <col min="9222" max="9222" width="16" customWidth="1"/>
    <col min="9223" max="9223" width="15.85546875" customWidth="1"/>
    <col min="9224" max="9224" width="19" customWidth="1"/>
    <col min="9227" max="9227" width="10.7109375" bestFit="1" customWidth="1"/>
    <col min="9474" max="9474" width="2.28515625" customWidth="1"/>
    <col min="9475" max="9475" width="16.5703125" customWidth="1"/>
    <col min="9476" max="9476" width="16" customWidth="1"/>
    <col min="9477" max="9477" width="14" customWidth="1"/>
    <col min="9478" max="9478" width="16" customWidth="1"/>
    <col min="9479" max="9479" width="15.85546875" customWidth="1"/>
    <col min="9480" max="9480" width="19" customWidth="1"/>
    <col min="9483" max="9483" width="10.7109375" bestFit="1" customWidth="1"/>
    <col min="9730" max="9730" width="2.28515625" customWidth="1"/>
    <col min="9731" max="9731" width="16.5703125" customWidth="1"/>
    <col min="9732" max="9732" width="16" customWidth="1"/>
    <col min="9733" max="9733" width="14" customWidth="1"/>
    <col min="9734" max="9734" width="16" customWidth="1"/>
    <col min="9735" max="9735" width="15.85546875" customWidth="1"/>
    <col min="9736" max="9736" width="19" customWidth="1"/>
    <col min="9739" max="9739" width="10.7109375" bestFit="1" customWidth="1"/>
    <col min="9986" max="9986" width="2.28515625" customWidth="1"/>
    <col min="9987" max="9987" width="16.5703125" customWidth="1"/>
    <col min="9988" max="9988" width="16" customWidth="1"/>
    <col min="9989" max="9989" width="14" customWidth="1"/>
    <col min="9990" max="9990" width="16" customWidth="1"/>
    <col min="9991" max="9991" width="15.85546875" customWidth="1"/>
    <col min="9992" max="9992" width="19" customWidth="1"/>
    <col min="9995" max="9995" width="10.7109375" bestFit="1" customWidth="1"/>
    <col min="10242" max="10242" width="2.28515625" customWidth="1"/>
    <col min="10243" max="10243" width="16.5703125" customWidth="1"/>
    <col min="10244" max="10244" width="16" customWidth="1"/>
    <col min="10245" max="10245" width="14" customWidth="1"/>
    <col min="10246" max="10246" width="16" customWidth="1"/>
    <col min="10247" max="10247" width="15.85546875" customWidth="1"/>
    <col min="10248" max="10248" width="19" customWidth="1"/>
    <col min="10251" max="10251" width="10.7109375" bestFit="1" customWidth="1"/>
    <col min="10498" max="10498" width="2.28515625" customWidth="1"/>
    <col min="10499" max="10499" width="16.5703125" customWidth="1"/>
    <col min="10500" max="10500" width="16" customWidth="1"/>
    <col min="10501" max="10501" width="14" customWidth="1"/>
    <col min="10502" max="10502" width="16" customWidth="1"/>
    <col min="10503" max="10503" width="15.85546875" customWidth="1"/>
    <col min="10504" max="10504" width="19" customWidth="1"/>
    <col min="10507" max="10507" width="10.7109375" bestFit="1" customWidth="1"/>
    <col min="10754" max="10754" width="2.28515625" customWidth="1"/>
    <col min="10755" max="10755" width="16.5703125" customWidth="1"/>
    <col min="10756" max="10756" width="16" customWidth="1"/>
    <col min="10757" max="10757" width="14" customWidth="1"/>
    <col min="10758" max="10758" width="16" customWidth="1"/>
    <col min="10759" max="10759" width="15.85546875" customWidth="1"/>
    <col min="10760" max="10760" width="19" customWidth="1"/>
    <col min="10763" max="10763" width="10.7109375" bestFit="1" customWidth="1"/>
    <col min="11010" max="11010" width="2.28515625" customWidth="1"/>
    <col min="11011" max="11011" width="16.5703125" customWidth="1"/>
    <col min="11012" max="11012" width="16" customWidth="1"/>
    <col min="11013" max="11013" width="14" customWidth="1"/>
    <col min="11014" max="11014" width="16" customWidth="1"/>
    <col min="11015" max="11015" width="15.85546875" customWidth="1"/>
    <col min="11016" max="11016" width="19" customWidth="1"/>
    <col min="11019" max="11019" width="10.7109375" bestFit="1" customWidth="1"/>
    <col min="11266" max="11266" width="2.28515625" customWidth="1"/>
    <col min="11267" max="11267" width="16.5703125" customWidth="1"/>
    <col min="11268" max="11268" width="16" customWidth="1"/>
    <col min="11269" max="11269" width="14" customWidth="1"/>
    <col min="11270" max="11270" width="16" customWidth="1"/>
    <col min="11271" max="11271" width="15.85546875" customWidth="1"/>
    <col min="11272" max="11272" width="19" customWidth="1"/>
    <col min="11275" max="11275" width="10.7109375" bestFit="1" customWidth="1"/>
    <col min="11522" max="11522" width="2.28515625" customWidth="1"/>
    <col min="11523" max="11523" width="16.5703125" customWidth="1"/>
    <col min="11524" max="11524" width="16" customWidth="1"/>
    <col min="11525" max="11525" width="14" customWidth="1"/>
    <col min="11526" max="11526" width="16" customWidth="1"/>
    <col min="11527" max="11527" width="15.85546875" customWidth="1"/>
    <col min="11528" max="11528" width="19" customWidth="1"/>
    <col min="11531" max="11531" width="10.7109375" bestFit="1" customWidth="1"/>
    <col min="11778" max="11778" width="2.28515625" customWidth="1"/>
    <col min="11779" max="11779" width="16.5703125" customWidth="1"/>
    <col min="11780" max="11780" width="16" customWidth="1"/>
    <col min="11781" max="11781" width="14" customWidth="1"/>
    <col min="11782" max="11782" width="16" customWidth="1"/>
    <col min="11783" max="11783" width="15.85546875" customWidth="1"/>
    <col min="11784" max="11784" width="19" customWidth="1"/>
    <col min="11787" max="11787" width="10.7109375" bestFit="1" customWidth="1"/>
    <col min="12034" max="12034" width="2.28515625" customWidth="1"/>
    <col min="12035" max="12035" width="16.5703125" customWidth="1"/>
    <col min="12036" max="12036" width="16" customWidth="1"/>
    <col min="12037" max="12037" width="14" customWidth="1"/>
    <col min="12038" max="12038" width="16" customWidth="1"/>
    <col min="12039" max="12039" width="15.85546875" customWidth="1"/>
    <col min="12040" max="12040" width="19" customWidth="1"/>
    <col min="12043" max="12043" width="10.7109375" bestFit="1" customWidth="1"/>
    <col min="12290" max="12290" width="2.28515625" customWidth="1"/>
    <col min="12291" max="12291" width="16.5703125" customWidth="1"/>
    <col min="12292" max="12292" width="16" customWidth="1"/>
    <col min="12293" max="12293" width="14" customWidth="1"/>
    <col min="12294" max="12294" width="16" customWidth="1"/>
    <col min="12295" max="12295" width="15.85546875" customWidth="1"/>
    <col min="12296" max="12296" width="19" customWidth="1"/>
    <col min="12299" max="12299" width="10.7109375" bestFit="1" customWidth="1"/>
    <col min="12546" max="12546" width="2.28515625" customWidth="1"/>
    <col min="12547" max="12547" width="16.5703125" customWidth="1"/>
    <col min="12548" max="12548" width="16" customWidth="1"/>
    <col min="12549" max="12549" width="14" customWidth="1"/>
    <col min="12550" max="12550" width="16" customWidth="1"/>
    <col min="12551" max="12551" width="15.85546875" customWidth="1"/>
    <col min="12552" max="12552" width="19" customWidth="1"/>
    <col min="12555" max="12555" width="10.7109375" bestFit="1" customWidth="1"/>
    <col min="12802" max="12802" width="2.28515625" customWidth="1"/>
    <col min="12803" max="12803" width="16.5703125" customWidth="1"/>
    <col min="12804" max="12804" width="16" customWidth="1"/>
    <col min="12805" max="12805" width="14" customWidth="1"/>
    <col min="12806" max="12806" width="16" customWidth="1"/>
    <col min="12807" max="12807" width="15.85546875" customWidth="1"/>
    <col min="12808" max="12808" width="19" customWidth="1"/>
    <col min="12811" max="12811" width="10.7109375" bestFit="1" customWidth="1"/>
    <col min="13058" max="13058" width="2.28515625" customWidth="1"/>
    <col min="13059" max="13059" width="16.5703125" customWidth="1"/>
    <col min="13060" max="13060" width="16" customWidth="1"/>
    <col min="13061" max="13061" width="14" customWidth="1"/>
    <col min="13062" max="13062" width="16" customWidth="1"/>
    <col min="13063" max="13063" width="15.85546875" customWidth="1"/>
    <col min="13064" max="13064" width="19" customWidth="1"/>
    <col min="13067" max="13067" width="10.7109375" bestFit="1" customWidth="1"/>
    <col min="13314" max="13314" width="2.28515625" customWidth="1"/>
    <col min="13315" max="13315" width="16.5703125" customWidth="1"/>
    <col min="13316" max="13316" width="16" customWidth="1"/>
    <col min="13317" max="13317" width="14" customWidth="1"/>
    <col min="13318" max="13318" width="16" customWidth="1"/>
    <col min="13319" max="13319" width="15.85546875" customWidth="1"/>
    <col min="13320" max="13320" width="19" customWidth="1"/>
    <col min="13323" max="13323" width="10.7109375" bestFit="1" customWidth="1"/>
    <col min="13570" max="13570" width="2.28515625" customWidth="1"/>
    <col min="13571" max="13571" width="16.5703125" customWidth="1"/>
    <col min="13572" max="13572" width="16" customWidth="1"/>
    <col min="13573" max="13573" width="14" customWidth="1"/>
    <col min="13574" max="13574" width="16" customWidth="1"/>
    <col min="13575" max="13575" width="15.85546875" customWidth="1"/>
    <col min="13576" max="13576" width="19" customWidth="1"/>
    <col min="13579" max="13579" width="10.7109375" bestFit="1" customWidth="1"/>
    <col min="13826" max="13826" width="2.28515625" customWidth="1"/>
    <col min="13827" max="13827" width="16.5703125" customWidth="1"/>
    <col min="13828" max="13828" width="16" customWidth="1"/>
    <col min="13829" max="13829" width="14" customWidth="1"/>
    <col min="13830" max="13830" width="16" customWidth="1"/>
    <col min="13831" max="13831" width="15.85546875" customWidth="1"/>
    <col min="13832" max="13832" width="19" customWidth="1"/>
    <col min="13835" max="13835" width="10.7109375" bestFit="1" customWidth="1"/>
    <col min="14082" max="14082" width="2.28515625" customWidth="1"/>
    <col min="14083" max="14083" width="16.5703125" customWidth="1"/>
    <col min="14084" max="14084" width="16" customWidth="1"/>
    <col min="14085" max="14085" width="14" customWidth="1"/>
    <col min="14086" max="14086" width="16" customWidth="1"/>
    <col min="14087" max="14087" width="15.85546875" customWidth="1"/>
    <col min="14088" max="14088" width="19" customWidth="1"/>
    <col min="14091" max="14091" width="10.7109375" bestFit="1" customWidth="1"/>
    <col min="14338" max="14338" width="2.28515625" customWidth="1"/>
    <col min="14339" max="14339" width="16.5703125" customWidth="1"/>
    <col min="14340" max="14340" width="16" customWidth="1"/>
    <col min="14341" max="14341" width="14" customWidth="1"/>
    <col min="14342" max="14342" width="16" customWidth="1"/>
    <col min="14343" max="14343" width="15.85546875" customWidth="1"/>
    <col min="14344" max="14344" width="19" customWidth="1"/>
    <col min="14347" max="14347" width="10.7109375" bestFit="1" customWidth="1"/>
    <col min="14594" max="14594" width="2.28515625" customWidth="1"/>
    <col min="14595" max="14595" width="16.5703125" customWidth="1"/>
    <col min="14596" max="14596" width="16" customWidth="1"/>
    <col min="14597" max="14597" width="14" customWidth="1"/>
    <col min="14598" max="14598" width="16" customWidth="1"/>
    <col min="14599" max="14599" width="15.85546875" customWidth="1"/>
    <col min="14600" max="14600" width="19" customWidth="1"/>
    <col min="14603" max="14603" width="10.7109375" bestFit="1" customWidth="1"/>
    <col min="14850" max="14850" width="2.28515625" customWidth="1"/>
    <col min="14851" max="14851" width="16.5703125" customWidth="1"/>
    <col min="14852" max="14852" width="16" customWidth="1"/>
    <col min="14853" max="14853" width="14" customWidth="1"/>
    <col min="14854" max="14854" width="16" customWidth="1"/>
    <col min="14855" max="14855" width="15.85546875" customWidth="1"/>
    <col min="14856" max="14856" width="19" customWidth="1"/>
    <col min="14859" max="14859" width="10.7109375" bestFit="1" customWidth="1"/>
    <col min="15106" max="15106" width="2.28515625" customWidth="1"/>
    <col min="15107" max="15107" width="16.5703125" customWidth="1"/>
    <col min="15108" max="15108" width="16" customWidth="1"/>
    <col min="15109" max="15109" width="14" customWidth="1"/>
    <col min="15110" max="15110" width="16" customWidth="1"/>
    <col min="15111" max="15111" width="15.85546875" customWidth="1"/>
    <col min="15112" max="15112" width="19" customWidth="1"/>
    <col min="15115" max="15115" width="10.7109375" bestFit="1" customWidth="1"/>
    <col min="15362" max="15362" width="2.28515625" customWidth="1"/>
    <col min="15363" max="15363" width="16.5703125" customWidth="1"/>
    <col min="15364" max="15364" width="16" customWidth="1"/>
    <col min="15365" max="15365" width="14" customWidth="1"/>
    <col min="15366" max="15366" width="16" customWidth="1"/>
    <col min="15367" max="15367" width="15.85546875" customWidth="1"/>
    <col min="15368" max="15368" width="19" customWidth="1"/>
    <col min="15371" max="15371" width="10.7109375" bestFit="1" customWidth="1"/>
    <col min="15618" max="15618" width="2.28515625" customWidth="1"/>
    <col min="15619" max="15619" width="16.5703125" customWidth="1"/>
    <col min="15620" max="15620" width="16" customWidth="1"/>
    <col min="15621" max="15621" width="14" customWidth="1"/>
    <col min="15622" max="15622" width="16" customWidth="1"/>
    <col min="15623" max="15623" width="15.85546875" customWidth="1"/>
    <col min="15624" max="15624" width="19" customWidth="1"/>
    <col min="15627" max="15627" width="10.7109375" bestFit="1" customWidth="1"/>
    <col min="15874" max="15874" width="2.28515625" customWidth="1"/>
    <col min="15875" max="15875" width="16.5703125" customWidth="1"/>
    <col min="15876" max="15876" width="16" customWidth="1"/>
    <col min="15877" max="15877" width="14" customWidth="1"/>
    <col min="15878" max="15878" width="16" customWidth="1"/>
    <col min="15879" max="15879" width="15.85546875" customWidth="1"/>
    <col min="15880" max="15880" width="19" customWidth="1"/>
    <col min="15883" max="15883" width="10.7109375" bestFit="1" customWidth="1"/>
    <col min="16130" max="16130" width="2.28515625" customWidth="1"/>
    <col min="16131" max="16131" width="16.5703125" customWidth="1"/>
    <col min="16132" max="16132" width="16" customWidth="1"/>
    <col min="16133" max="16133" width="14" customWidth="1"/>
    <col min="16134" max="16134" width="16" customWidth="1"/>
    <col min="16135" max="16135" width="15.85546875" customWidth="1"/>
    <col min="16136" max="16136" width="19" customWidth="1"/>
    <col min="16139" max="16139" width="10.7109375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ht="18.75" x14ac:dyDescent="0.3">
      <c r="A2" s="3" t="s">
        <v>0</v>
      </c>
      <c r="B2" s="4"/>
      <c r="C2" s="5"/>
      <c r="D2" s="6" t="s">
        <v>1</v>
      </c>
      <c r="E2" s="7"/>
      <c r="F2" s="7"/>
      <c r="G2" s="8"/>
      <c r="H2" s="9">
        <v>62768</v>
      </c>
      <c r="I2" s="1"/>
      <c r="J2" s="10" t="s">
        <v>2</v>
      </c>
    </row>
    <row r="3" spans="1:10" ht="18.75" x14ac:dyDescent="0.3">
      <c r="A3" s="1"/>
      <c r="B3" s="1"/>
      <c r="C3" s="1"/>
      <c r="D3" s="11" t="s">
        <v>3</v>
      </c>
      <c r="E3" s="12"/>
      <c r="F3" s="13">
        <v>193895</v>
      </c>
      <c r="G3" s="14" t="s">
        <v>4</v>
      </c>
      <c r="H3" s="15">
        <v>3.0890740504715777</v>
      </c>
      <c r="I3" s="1"/>
      <c r="J3" s="16"/>
    </row>
    <row r="4" spans="1:10" ht="18.75" x14ac:dyDescent="0.3">
      <c r="A4" s="1"/>
      <c r="B4" s="1"/>
      <c r="C4" s="1"/>
      <c r="D4" s="11" t="s">
        <v>5</v>
      </c>
      <c r="E4" s="17"/>
      <c r="F4" s="17"/>
      <c r="G4" s="18">
        <v>950</v>
      </c>
      <c r="H4" s="19">
        <v>75</v>
      </c>
      <c r="I4" s="1"/>
      <c r="J4" s="20">
        <f>H4</f>
        <v>75</v>
      </c>
    </row>
    <row r="5" spans="1:10" ht="19.5" thickBot="1" x14ac:dyDescent="0.35">
      <c r="A5" s="1"/>
      <c r="B5" s="1"/>
      <c r="C5" s="1"/>
      <c r="D5" s="21" t="s">
        <v>6</v>
      </c>
      <c r="E5" s="22"/>
      <c r="F5" s="22"/>
      <c r="G5" s="21"/>
      <c r="H5" s="23">
        <v>0</v>
      </c>
      <c r="I5" s="1"/>
      <c r="J5" s="24"/>
    </row>
    <row r="6" spans="1:10" ht="15.75" thickBot="1" x14ac:dyDescent="0.3">
      <c r="A6" s="1"/>
      <c r="B6" s="1"/>
      <c r="C6" s="1"/>
      <c r="D6" s="1"/>
      <c r="E6" s="1"/>
      <c r="F6" s="1"/>
      <c r="G6" s="1"/>
      <c r="H6" s="2"/>
      <c r="I6" s="1"/>
      <c r="J6" s="1"/>
    </row>
    <row r="7" spans="1:10" ht="18.75" x14ac:dyDescent="0.3">
      <c r="A7" s="3" t="s">
        <v>7</v>
      </c>
      <c r="B7" s="4"/>
      <c r="C7" s="5" t="s">
        <v>8</v>
      </c>
      <c r="D7" s="6" t="s">
        <v>9</v>
      </c>
      <c r="E7" s="7"/>
      <c r="F7" s="7"/>
      <c r="G7" s="8" t="s">
        <v>10</v>
      </c>
      <c r="H7" s="25" t="s">
        <v>11</v>
      </c>
      <c r="I7" s="1"/>
      <c r="J7" s="1"/>
    </row>
    <row r="8" spans="1:10" ht="18.75" x14ac:dyDescent="0.3">
      <c r="A8" s="26" t="s">
        <v>12</v>
      </c>
      <c r="B8" s="27"/>
      <c r="C8" s="11"/>
      <c r="D8" s="28" t="s">
        <v>1</v>
      </c>
      <c r="E8" s="12" t="s">
        <v>13</v>
      </c>
      <c r="F8" s="29">
        <v>1</v>
      </c>
      <c r="G8" s="30" t="s">
        <v>14</v>
      </c>
      <c r="H8" s="31">
        <v>157010</v>
      </c>
      <c r="I8" s="1"/>
      <c r="J8" s="1"/>
    </row>
    <row r="9" spans="1:10" ht="18.75" x14ac:dyDescent="0.3">
      <c r="A9" s="26" t="s">
        <v>15</v>
      </c>
      <c r="B9" s="27"/>
      <c r="C9" s="32"/>
      <c r="D9" s="11" t="s">
        <v>16</v>
      </c>
      <c r="E9" s="12"/>
      <c r="F9" s="33"/>
      <c r="G9" s="14" t="s">
        <v>4</v>
      </c>
      <c r="H9" s="15">
        <f>H10/H8</f>
        <v>1.4544296541621553</v>
      </c>
      <c r="I9" s="1"/>
      <c r="J9" s="1"/>
    </row>
    <row r="10" spans="1:10" ht="19.5" thickBot="1" x14ac:dyDescent="0.35">
      <c r="A10" s="34" t="s">
        <v>17</v>
      </c>
      <c r="B10" s="35"/>
      <c r="C10" s="36"/>
      <c r="D10" s="11" t="s">
        <v>18</v>
      </c>
      <c r="E10" s="17"/>
      <c r="F10" s="17"/>
      <c r="G10" s="37" t="s">
        <v>19</v>
      </c>
      <c r="H10" s="31">
        <v>228360</v>
      </c>
      <c r="I10" s="1"/>
      <c r="J10" s="1"/>
    </row>
    <row r="11" spans="1:10" ht="18.75" x14ac:dyDescent="0.3">
      <c r="A11" s="38"/>
      <c r="B11" s="32"/>
      <c r="C11" s="36"/>
      <c r="D11" s="11" t="s">
        <v>5</v>
      </c>
      <c r="E11" s="17"/>
      <c r="F11" s="17"/>
      <c r="G11" s="18">
        <f>G4</f>
        <v>950</v>
      </c>
      <c r="H11" s="39">
        <f>H10/G11</f>
        <v>240.37894736842105</v>
      </c>
      <c r="I11" s="1"/>
      <c r="J11" s="40">
        <f>H11-H15</f>
        <v>209.12968421052631</v>
      </c>
    </row>
    <row r="12" spans="1:10" ht="18.75" x14ac:dyDescent="0.3">
      <c r="A12" s="38"/>
      <c r="B12" s="32"/>
      <c r="C12" s="1"/>
      <c r="D12" s="11" t="s">
        <v>20</v>
      </c>
      <c r="E12" s="17"/>
      <c r="F12" s="17"/>
      <c r="G12" s="41"/>
      <c r="H12" s="42">
        <v>0.75</v>
      </c>
      <c r="I12" s="1"/>
      <c r="J12" s="1"/>
    </row>
    <row r="13" spans="1:10" ht="18.75" x14ac:dyDescent="0.3">
      <c r="A13" s="38"/>
      <c r="B13" s="32"/>
      <c r="C13" s="21" t="s">
        <v>21</v>
      </c>
      <c r="D13" s="21" t="s">
        <v>6</v>
      </c>
      <c r="E13" s="22"/>
      <c r="F13" s="22"/>
      <c r="G13" s="21"/>
      <c r="H13" s="43">
        <f>H11*0.13</f>
        <v>31.249263157894738</v>
      </c>
      <c r="I13" s="44">
        <f>H11*0.13</f>
        <v>31.249263157894738</v>
      </c>
      <c r="J13" s="1"/>
    </row>
    <row r="14" spans="1:10" ht="18.75" x14ac:dyDescent="0.3">
      <c r="A14" s="38"/>
      <c r="B14" s="32"/>
      <c r="C14" s="45"/>
      <c r="D14" s="21" t="s">
        <v>22</v>
      </c>
      <c r="E14" s="22"/>
      <c r="F14" s="22"/>
      <c r="G14" s="21"/>
      <c r="H14" s="23">
        <v>0</v>
      </c>
      <c r="I14" s="1"/>
      <c r="J14" s="1"/>
    </row>
    <row r="15" spans="1:10" ht="18.75" x14ac:dyDescent="0.3">
      <c r="A15" s="38"/>
      <c r="B15" s="32"/>
      <c r="C15" s="45"/>
      <c r="D15" s="21" t="s">
        <v>23</v>
      </c>
      <c r="E15" s="22"/>
      <c r="F15" s="22"/>
      <c r="G15" s="21"/>
      <c r="H15" s="23">
        <f>SUM(H13:H14)</f>
        <v>31.249263157894738</v>
      </c>
      <c r="I15" s="1"/>
      <c r="J15" s="1"/>
    </row>
    <row r="16" spans="1:10" ht="18.75" x14ac:dyDescent="0.3">
      <c r="A16" s="38"/>
      <c r="B16" s="32"/>
      <c r="C16" s="1"/>
      <c r="D16" s="21" t="s">
        <v>24</v>
      </c>
      <c r="E16" s="22"/>
      <c r="F16" s="22"/>
      <c r="G16" s="21"/>
      <c r="H16" s="46">
        <f>(H15+H18)/H11</f>
        <v>0.13</v>
      </c>
      <c r="I16" s="1"/>
      <c r="J16" s="1"/>
    </row>
    <row r="17" spans="1:8" ht="18.75" x14ac:dyDescent="0.3">
      <c r="A17" s="38"/>
      <c r="B17" s="32"/>
      <c r="C17" s="45"/>
      <c r="D17" s="21" t="s">
        <v>17</v>
      </c>
      <c r="E17" s="22"/>
      <c r="F17" s="22"/>
      <c r="G17" s="21"/>
      <c r="H17" s="47">
        <v>1</v>
      </c>
    </row>
    <row r="18" spans="1:8" ht="18.75" x14ac:dyDescent="0.3">
      <c r="A18" s="38"/>
      <c r="B18" s="32"/>
      <c r="C18" s="45"/>
      <c r="D18" s="21" t="s">
        <v>25</v>
      </c>
      <c r="E18" s="22"/>
      <c r="F18" s="22"/>
      <c r="G18" s="21"/>
      <c r="H18" s="23">
        <v>0</v>
      </c>
    </row>
    <row r="19" spans="1:8" ht="18.75" x14ac:dyDescent="0.3">
      <c r="A19" s="38"/>
      <c r="B19" s="32"/>
      <c r="C19" s="36"/>
      <c r="D19" s="21" t="s">
        <v>26</v>
      </c>
      <c r="E19" s="22"/>
      <c r="F19" s="22"/>
      <c r="G19" s="21"/>
      <c r="H19" s="48">
        <v>0</v>
      </c>
    </row>
    <row r="20" spans="1:8" ht="18.75" x14ac:dyDescent="0.3">
      <c r="A20" s="38"/>
      <c r="B20" s="32"/>
      <c r="C20" s="36"/>
      <c r="D20" s="21" t="s">
        <v>27</v>
      </c>
      <c r="E20" s="22"/>
      <c r="F20" s="22"/>
      <c r="G20" s="21"/>
      <c r="H20" s="48">
        <v>0</v>
      </c>
    </row>
    <row r="21" spans="1:8" ht="19.5" thickBot="1" x14ac:dyDescent="0.35">
      <c r="A21" s="38"/>
      <c r="B21" s="32"/>
      <c r="C21" s="49"/>
      <c r="D21" s="45"/>
      <c r="E21" s="45"/>
      <c r="F21" s="49"/>
      <c r="G21" s="45"/>
      <c r="H21" s="50"/>
    </row>
    <row r="22" spans="1:8" ht="19.5" thickBot="1" x14ac:dyDescent="0.35">
      <c r="A22" s="38"/>
      <c r="B22" s="32"/>
      <c r="C22" s="51" t="s">
        <v>28</v>
      </c>
      <c r="D22" s="51" t="s">
        <v>29</v>
      </c>
      <c r="E22" s="52"/>
      <c r="F22" s="53">
        <v>0.06</v>
      </c>
      <c r="G22" s="54" t="s">
        <v>30</v>
      </c>
      <c r="H22" s="55">
        <f>+F73</f>
        <v>6.0858346861289749E-2</v>
      </c>
    </row>
    <row r="23" spans="1:8" ht="18.75" x14ac:dyDescent="0.3">
      <c r="A23" s="38"/>
      <c r="B23" s="32"/>
      <c r="C23" s="36"/>
      <c r="D23" s="51" t="s">
        <v>31</v>
      </c>
      <c r="E23" s="52"/>
      <c r="F23" s="56">
        <v>3.65</v>
      </c>
      <c r="G23" s="51" t="s">
        <v>32</v>
      </c>
      <c r="H23" s="57"/>
    </row>
    <row r="24" spans="1:8" ht="19.5" thickBot="1" x14ac:dyDescent="0.35">
      <c r="A24" s="38"/>
      <c r="B24" s="32"/>
      <c r="C24" s="32"/>
      <c r="D24" s="36"/>
      <c r="E24" s="45"/>
      <c r="F24" s="49"/>
      <c r="G24" s="45"/>
      <c r="H24" s="58"/>
    </row>
    <row r="25" spans="1:8" ht="18.75" x14ac:dyDescent="0.3">
      <c r="A25" s="59" t="s">
        <v>33</v>
      </c>
      <c r="B25" s="60"/>
      <c r="C25" s="60"/>
      <c r="D25" s="60"/>
      <c r="E25" s="60"/>
      <c r="F25" s="60"/>
      <c r="G25" s="60"/>
      <c r="H25" s="61"/>
    </row>
    <row r="26" spans="1:8" ht="30" x14ac:dyDescent="0.25">
      <c r="A26" s="62" t="s">
        <v>34</v>
      </c>
      <c r="B26" s="63"/>
      <c r="C26" s="63"/>
      <c r="D26" s="64" t="s">
        <v>35</v>
      </c>
      <c r="E26" s="64" t="s">
        <v>36</v>
      </c>
      <c r="F26" s="64" t="s">
        <v>37</v>
      </c>
      <c r="G26" s="64" t="s">
        <v>38</v>
      </c>
      <c r="H26" s="65" t="s">
        <v>39</v>
      </c>
    </row>
    <row r="27" spans="1:8" x14ac:dyDescent="0.25">
      <c r="A27" s="38"/>
      <c r="B27" s="49" t="s">
        <v>40</v>
      </c>
      <c r="C27" s="49" t="s">
        <v>41</v>
      </c>
      <c r="D27" s="66">
        <f>ROUND(H11-D28-D29,0)</f>
        <v>209</v>
      </c>
      <c r="E27" s="67">
        <v>810</v>
      </c>
      <c r="F27" s="68">
        <f>+G27*E27</f>
        <v>2956.5</v>
      </c>
      <c r="G27" s="69">
        <f>F23</f>
        <v>3.65</v>
      </c>
      <c r="H27" s="70">
        <f>+D27*F27*12</f>
        <v>7414902</v>
      </c>
    </row>
    <row r="28" spans="1:8" x14ac:dyDescent="0.25">
      <c r="A28" s="38"/>
      <c r="B28" s="71" t="s">
        <v>42</v>
      </c>
      <c r="C28" s="49" t="s">
        <v>43</v>
      </c>
      <c r="D28" s="66">
        <f>H13</f>
        <v>31.249263157894738</v>
      </c>
      <c r="E28" s="67">
        <v>810</v>
      </c>
      <c r="F28" s="68">
        <v>1098.26</v>
      </c>
      <c r="G28" s="72">
        <f>IF(H28=0,0,+H28/(E28*D28)/12)</f>
        <v>1.3558765432098765</v>
      </c>
      <c r="H28" s="70">
        <f>+F28*D28*12</f>
        <v>411837.78906947369</v>
      </c>
    </row>
    <row r="29" spans="1:8" x14ac:dyDescent="0.25">
      <c r="A29" s="38"/>
      <c r="B29" s="71" t="s">
        <v>44</v>
      </c>
      <c r="C29" s="49" t="s">
        <v>45</v>
      </c>
      <c r="D29" s="66"/>
      <c r="E29" s="67">
        <v>810</v>
      </c>
      <c r="F29" s="68">
        <v>784.93925925925919</v>
      </c>
      <c r="G29" s="73">
        <f>IF(H29=0,0,+H29/(E29*D29)/12)</f>
        <v>0</v>
      </c>
      <c r="H29" s="70">
        <f>+F29*D29*12</f>
        <v>0</v>
      </c>
    </row>
    <row r="30" spans="1:8" x14ac:dyDescent="0.25">
      <c r="A30" s="38"/>
      <c r="B30" s="49" t="s">
        <v>46</v>
      </c>
      <c r="C30" s="49" t="s">
        <v>47</v>
      </c>
      <c r="D30" s="67">
        <v>0</v>
      </c>
      <c r="E30" s="67">
        <v>0</v>
      </c>
      <c r="F30" s="73">
        <v>0</v>
      </c>
      <c r="G30" s="73">
        <v>0</v>
      </c>
      <c r="H30" s="70">
        <f>+G30*E30*D30</f>
        <v>0</v>
      </c>
    </row>
    <row r="31" spans="1:8" x14ac:dyDescent="0.25">
      <c r="A31" s="38"/>
      <c r="B31" s="49"/>
      <c r="C31" s="49" t="s">
        <v>48</v>
      </c>
      <c r="D31" s="67">
        <v>0</v>
      </c>
      <c r="E31" s="67">
        <v>5000</v>
      </c>
      <c r="F31" s="73">
        <f>+G31/12</f>
        <v>0</v>
      </c>
      <c r="G31" s="73">
        <v>0</v>
      </c>
      <c r="H31" s="70">
        <f>+G31*E31*D31</f>
        <v>0</v>
      </c>
    </row>
    <row r="32" spans="1:8" x14ac:dyDescent="0.25">
      <c r="A32" s="38"/>
      <c r="B32" s="74" t="s">
        <v>49</v>
      </c>
      <c r="C32" s="74"/>
      <c r="D32" s="75">
        <f>+H11*H12</f>
        <v>180.2842105263158</v>
      </c>
      <c r="E32" s="76"/>
      <c r="F32" s="76"/>
      <c r="G32" s="76">
        <v>250</v>
      </c>
      <c r="H32" s="77">
        <f>+D32*G32*12</f>
        <v>540852.63157894742</v>
      </c>
    </row>
    <row r="33" spans="1:8" x14ac:dyDescent="0.25">
      <c r="A33" s="38"/>
      <c r="B33" s="49" t="s">
        <v>50</v>
      </c>
      <c r="C33" s="49"/>
      <c r="D33" s="66">
        <f>+H11</f>
        <v>240.37894736842105</v>
      </c>
      <c r="E33" s="67">
        <f>(E27*D27)+(E28*D28)</f>
        <v>194601.90315789473</v>
      </c>
      <c r="F33" s="73"/>
      <c r="G33" s="68"/>
      <c r="H33" s="70">
        <f>SUM(H27:H32)</f>
        <v>8367592.4206484212</v>
      </c>
    </row>
    <row r="34" spans="1:8" x14ac:dyDescent="0.25">
      <c r="A34" s="38"/>
      <c r="B34" s="49" t="s">
        <v>51</v>
      </c>
      <c r="C34" s="49"/>
      <c r="D34" s="78">
        <v>0.85</v>
      </c>
      <c r="E34" s="67">
        <f>+H10</f>
        <v>228360</v>
      </c>
      <c r="F34" s="68"/>
      <c r="G34" s="68"/>
      <c r="H34" s="70"/>
    </row>
    <row r="35" spans="1:8" x14ac:dyDescent="0.25">
      <c r="A35" s="38"/>
      <c r="B35" s="49" t="s">
        <v>52</v>
      </c>
      <c r="C35" s="49"/>
      <c r="D35" s="78">
        <v>1</v>
      </c>
      <c r="E35" s="67">
        <f>(E30*D30)+(D31*E31)</f>
        <v>0</v>
      </c>
      <c r="F35" s="68"/>
      <c r="G35" s="68"/>
      <c r="H35" s="70"/>
    </row>
    <row r="36" spans="1:8" x14ac:dyDescent="0.25">
      <c r="A36" s="38"/>
      <c r="B36" s="49"/>
      <c r="C36" s="49"/>
      <c r="D36" s="67"/>
      <c r="E36" s="68"/>
      <c r="F36" s="68"/>
      <c r="G36" s="68"/>
      <c r="H36" s="70"/>
    </row>
    <row r="37" spans="1:8" ht="18.75" x14ac:dyDescent="0.3">
      <c r="A37" s="79" t="s">
        <v>53</v>
      </c>
      <c r="B37" s="49"/>
      <c r="C37" s="49" t="str">
        <f>+C27</f>
        <v>Market Rate</v>
      </c>
      <c r="D37" s="67"/>
      <c r="E37" s="68"/>
      <c r="F37" s="68"/>
      <c r="G37" s="80">
        <v>0.05</v>
      </c>
      <c r="H37" s="70">
        <f>-G37*H27</f>
        <v>-370745.10000000003</v>
      </c>
    </row>
    <row r="38" spans="1:8" ht="12.75" customHeight="1" x14ac:dyDescent="0.3">
      <c r="A38" s="79"/>
      <c r="B38" s="49"/>
      <c r="C38" s="49" t="str">
        <f>+C28</f>
        <v>Low Income</v>
      </c>
      <c r="D38" s="67"/>
      <c r="E38" s="68"/>
      <c r="F38" s="68"/>
      <c r="G38" s="80">
        <v>0</v>
      </c>
      <c r="H38" s="70">
        <f>-G38*H28</f>
        <v>0</v>
      </c>
    </row>
    <row r="39" spans="1:8" ht="12.75" customHeight="1" x14ac:dyDescent="0.3">
      <c r="A39" s="79"/>
      <c r="B39" s="49"/>
      <c r="C39" s="49" t="str">
        <f>+C30</f>
        <v>Market Rate Retail</v>
      </c>
      <c r="D39" s="67"/>
      <c r="E39" s="68"/>
      <c r="F39" s="68"/>
      <c r="G39" s="80">
        <v>0.1</v>
      </c>
      <c r="H39" s="70">
        <f>-G39*H30</f>
        <v>0</v>
      </c>
    </row>
    <row r="40" spans="1:8" x14ac:dyDescent="0.25">
      <c r="A40" s="38"/>
      <c r="B40" s="74"/>
      <c r="C40" s="74" t="str">
        <f>+C31</f>
        <v>Affordable Innovation</v>
      </c>
      <c r="D40" s="75"/>
      <c r="E40" s="76"/>
      <c r="F40" s="76"/>
      <c r="G40" s="81">
        <v>0.2</v>
      </c>
      <c r="H40" s="77">
        <f>-G40*H31</f>
        <v>0</v>
      </c>
    </row>
    <row r="41" spans="1:8" x14ac:dyDescent="0.25">
      <c r="A41" s="38"/>
      <c r="B41" s="49" t="s">
        <v>54</v>
      </c>
      <c r="C41" s="49"/>
      <c r="D41" s="67"/>
      <c r="E41" s="68"/>
      <c r="F41" s="68"/>
      <c r="G41" s="80"/>
      <c r="H41" s="70">
        <f>SUM(H37:H40)</f>
        <v>-370745.10000000003</v>
      </c>
    </row>
    <row r="42" spans="1:8" s="83" customFormat="1" ht="18.75" x14ac:dyDescent="0.3">
      <c r="A42" s="82"/>
      <c r="C42" s="45"/>
      <c r="D42" s="49"/>
      <c r="E42" s="49"/>
      <c r="F42" s="84"/>
      <c r="G42" s="85"/>
      <c r="H42" s="70"/>
    </row>
    <row r="43" spans="1:8" ht="18.75" x14ac:dyDescent="0.3">
      <c r="A43" s="79" t="s">
        <v>55</v>
      </c>
      <c r="B43" s="49"/>
      <c r="C43" s="49"/>
      <c r="D43" s="67"/>
      <c r="E43" s="68"/>
      <c r="F43" s="68"/>
      <c r="G43" s="68"/>
      <c r="H43" s="70">
        <f>+H33+H41</f>
        <v>7996847.3206484215</v>
      </c>
    </row>
    <row r="44" spans="1:8" x14ac:dyDescent="0.25">
      <c r="A44" s="38"/>
      <c r="B44" s="49"/>
      <c r="C44" s="49"/>
      <c r="D44" s="67"/>
      <c r="E44" s="68"/>
      <c r="F44" s="68"/>
      <c r="G44" s="68"/>
      <c r="H44" s="70"/>
    </row>
    <row r="45" spans="1:8" ht="18.75" x14ac:dyDescent="0.3">
      <c r="A45" s="79" t="s">
        <v>56</v>
      </c>
      <c r="B45" s="49"/>
      <c r="C45" s="49"/>
      <c r="D45" s="49"/>
      <c r="E45" s="49"/>
      <c r="F45" s="49"/>
      <c r="G45" s="49"/>
      <c r="H45" s="70"/>
    </row>
    <row r="46" spans="1:8" x14ac:dyDescent="0.25">
      <c r="A46" s="38"/>
      <c r="B46" s="49" t="s">
        <v>57</v>
      </c>
      <c r="C46" s="49" t="s">
        <v>58</v>
      </c>
      <c r="D46" s="49"/>
      <c r="E46" s="49"/>
      <c r="F46" s="68">
        <v>7500</v>
      </c>
      <c r="G46" s="68" t="s">
        <v>59</v>
      </c>
      <c r="H46" s="70">
        <f>-F46*D33</f>
        <v>-1802842.105263158</v>
      </c>
    </row>
    <row r="47" spans="1:8" x14ac:dyDescent="0.25">
      <c r="A47" s="38"/>
      <c r="B47" s="49"/>
      <c r="C47" s="49" t="s">
        <v>60</v>
      </c>
      <c r="D47" s="78">
        <v>7.0000000000000007E-2</v>
      </c>
      <c r="E47" s="49" t="s">
        <v>61</v>
      </c>
      <c r="F47" s="68">
        <f>ROUND(-H47/D33,-2)</f>
        <v>2400</v>
      </c>
      <c r="G47" s="68" t="s">
        <v>59</v>
      </c>
      <c r="H47" s="70">
        <f>(H27+H28+H32)*-D47</f>
        <v>-585731.46944538958</v>
      </c>
    </row>
    <row r="48" spans="1:8" x14ac:dyDescent="0.25">
      <c r="A48" s="38"/>
      <c r="B48" s="49"/>
      <c r="C48" s="49" t="s">
        <v>62</v>
      </c>
      <c r="D48" s="80">
        <v>2.5000000000000001E-2</v>
      </c>
      <c r="E48" s="49" t="s">
        <v>63</v>
      </c>
      <c r="F48" s="68">
        <f>-H48/D33</f>
        <v>826.73762476300578</v>
      </c>
      <c r="G48" s="68" t="s">
        <v>59</v>
      </c>
      <c r="H48" s="70">
        <f>-D48*((H27+H28+H32)*(1-G37))</f>
        <v>-198730.31999039999</v>
      </c>
    </row>
    <row r="49" spans="1:11" x14ac:dyDescent="0.25">
      <c r="A49" s="38"/>
      <c r="B49" s="49"/>
      <c r="C49" s="49" t="s">
        <v>64</v>
      </c>
      <c r="D49" s="49"/>
      <c r="E49" s="49"/>
      <c r="F49" s="68">
        <v>250</v>
      </c>
      <c r="G49" s="68" t="s">
        <v>59</v>
      </c>
      <c r="H49" s="70">
        <f>-F49*D33</f>
        <v>-60094.73684210526</v>
      </c>
      <c r="I49" s="1"/>
      <c r="J49" s="1"/>
      <c r="K49" s="1"/>
    </row>
    <row r="50" spans="1:11" x14ac:dyDescent="0.25">
      <c r="A50" s="38"/>
      <c r="B50" s="74" t="s">
        <v>46</v>
      </c>
      <c r="C50" s="86" t="s">
        <v>65</v>
      </c>
      <c r="D50" s="74"/>
      <c r="E50" s="74"/>
      <c r="F50" s="87">
        <v>0.02</v>
      </c>
      <c r="G50" s="74" t="s">
        <v>66</v>
      </c>
      <c r="H50" s="77">
        <f>-F50*(H30+H31)</f>
        <v>0</v>
      </c>
      <c r="I50" s="1"/>
      <c r="J50" s="1"/>
      <c r="K50" s="1"/>
    </row>
    <row r="51" spans="1:11" x14ac:dyDescent="0.25">
      <c r="A51" s="38"/>
      <c r="B51" s="49" t="s">
        <v>67</v>
      </c>
      <c r="C51" s="49"/>
      <c r="D51" s="78">
        <f>-H51/H43</f>
        <v>0.33105529284087787</v>
      </c>
      <c r="E51" s="68" t="s">
        <v>68</v>
      </c>
      <c r="F51" s="68">
        <f>-H51/D33</f>
        <v>11013.437992485549</v>
      </c>
      <c r="G51" s="68" t="s">
        <v>59</v>
      </c>
      <c r="H51" s="70">
        <f>SUM(H46:H50)</f>
        <v>-2647398.6315410528</v>
      </c>
      <c r="I51" s="1"/>
      <c r="J51" s="1"/>
      <c r="K51" s="1"/>
    </row>
    <row r="52" spans="1:11" ht="15.75" thickBot="1" x14ac:dyDescent="0.3">
      <c r="A52" s="38"/>
      <c r="B52" s="49"/>
      <c r="C52" s="49"/>
      <c r="D52" s="49"/>
      <c r="E52" s="32"/>
      <c r="F52" s="49"/>
      <c r="G52" s="49"/>
      <c r="H52" s="70"/>
      <c r="I52" s="1"/>
      <c r="J52" s="1"/>
      <c r="K52" s="1"/>
    </row>
    <row r="53" spans="1:11" ht="18.75" x14ac:dyDescent="0.3">
      <c r="A53" s="79" t="s">
        <v>69</v>
      </c>
      <c r="B53" s="49"/>
      <c r="C53" s="49"/>
      <c r="D53" s="78">
        <f>+H53/H43</f>
        <v>0.66894470715912213</v>
      </c>
      <c r="E53" s="68" t="s">
        <v>68</v>
      </c>
      <c r="F53" s="68">
        <f>+H53/D33</f>
        <v>22254.231278034684</v>
      </c>
      <c r="G53" s="68" t="s">
        <v>59</v>
      </c>
      <c r="H53" s="70">
        <f>+H43+H51</f>
        <v>5349448.6891073687</v>
      </c>
      <c r="I53" s="1"/>
      <c r="J53" s="88">
        <f>+H53/1.25</f>
        <v>4279558.951285895</v>
      </c>
      <c r="K53" s="89" t="s">
        <v>70</v>
      </c>
    </row>
    <row r="54" spans="1:11" x14ac:dyDescent="0.25">
      <c r="A54" s="38"/>
      <c r="B54" s="49"/>
      <c r="C54" s="49"/>
      <c r="D54" s="49"/>
      <c r="E54" s="49"/>
      <c r="F54" s="49"/>
      <c r="G54" s="49"/>
      <c r="H54" s="70"/>
      <c r="I54" s="1"/>
      <c r="J54" s="90">
        <f>-J53/(PMT(0.04/12,30*12,1)*12)</f>
        <v>74700143.877765596</v>
      </c>
      <c r="K54" s="91" t="s">
        <v>71</v>
      </c>
    </row>
    <row r="55" spans="1:11" ht="18.75" x14ac:dyDescent="0.3">
      <c r="A55" s="79" t="s">
        <v>72</v>
      </c>
      <c r="B55" s="49"/>
      <c r="C55" s="49"/>
      <c r="D55" s="49"/>
      <c r="E55" s="49"/>
      <c r="F55" s="49"/>
      <c r="G55" s="49"/>
      <c r="H55" s="70"/>
      <c r="I55" s="1"/>
      <c r="J55" s="92">
        <f>+H69-J54</f>
        <v>13199856.122234404</v>
      </c>
      <c r="K55" s="91" t="s">
        <v>73</v>
      </c>
    </row>
    <row r="56" spans="1:11" x14ac:dyDescent="0.25">
      <c r="A56" s="38"/>
      <c r="B56" s="49" t="s">
        <v>74</v>
      </c>
      <c r="C56" s="49"/>
      <c r="D56" s="49"/>
      <c r="E56" s="93" t="s">
        <v>75</v>
      </c>
      <c r="F56" s="94">
        <v>0.05</v>
      </c>
      <c r="G56" s="49" t="s">
        <v>76</v>
      </c>
      <c r="H56" s="70">
        <f>+H53/F56</f>
        <v>106988973.78214736</v>
      </c>
      <c r="I56" s="1"/>
      <c r="J56" s="92">
        <f>+H53-J53</f>
        <v>1069889.7378214737</v>
      </c>
      <c r="K56" s="91" t="s">
        <v>77</v>
      </c>
    </row>
    <row r="57" spans="1:11" ht="15.75" thickBot="1" x14ac:dyDescent="0.3">
      <c r="A57" s="38"/>
      <c r="B57" s="49"/>
      <c r="C57" s="49"/>
      <c r="D57" s="49"/>
      <c r="E57" s="49"/>
      <c r="F57" s="49"/>
      <c r="G57" s="93" t="s">
        <v>78</v>
      </c>
      <c r="H57" s="70">
        <f>ROUND(H56,-5)</f>
        <v>107000000</v>
      </c>
      <c r="I57" s="1"/>
      <c r="J57" s="95">
        <f>+J56/J55</f>
        <v>8.1053136330729053E-2</v>
      </c>
      <c r="K57" s="96" t="s">
        <v>79</v>
      </c>
    </row>
    <row r="58" spans="1:11" x14ac:dyDescent="0.25">
      <c r="A58" s="38"/>
      <c r="B58" s="49"/>
      <c r="C58" s="49"/>
      <c r="D58" s="49"/>
      <c r="E58" s="49"/>
      <c r="F58" s="49"/>
      <c r="G58" s="93" t="s">
        <v>80</v>
      </c>
      <c r="H58" s="70">
        <f>+H57/E34</f>
        <v>468.55841653529512</v>
      </c>
      <c r="I58" s="1"/>
      <c r="J58" s="1"/>
      <c r="K58" s="1"/>
    </row>
    <row r="59" spans="1:11" x14ac:dyDescent="0.25">
      <c r="A59" s="38"/>
      <c r="B59" s="49"/>
      <c r="C59" s="49"/>
      <c r="D59" s="49"/>
      <c r="E59" s="49"/>
      <c r="F59" s="49"/>
      <c r="G59" s="93" t="s">
        <v>59</v>
      </c>
      <c r="H59" s="70">
        <f>+H57/D33</f>
        <v>445130.49570853042</v>
      </c>
      <c r="I59" s="1"/>
      <c r="J59" s="1">
        <v>646091.59779614327</v>
      </c>
      <c r="K59" s="2">
        <f>+J59-H59</f>
        <v>200961.10208761285</v>
      </c>
    </row>
    <row r="60" spans="1:11" x14ac:dyDescent="0.25">
      <c r="A60" s="97"/>
      <c r="B60" s="74"/>
      <c r="C60" s="74"/>
      <c r="D60" s="74"/>
      <c r="E60" s="74"/>
      <c r="F60" s="74"/>
      <c r="G60" s="98"/>
      <c r="H60" s="77"/>
      <c r="I60" s="1"/>
      <c r="J60" s="1"/>
      <c r="K60" s="1"/>
    </row>
    <row r="61" spans="1:11" x14ac:dyDescent="0.25">
      <c r="A61" s="38"/>
      <c r="B61" s="49"/>
      <c r="C61" s="49"/>
      <c r="D61" s="49"/>
      <c r="E61" s="49"/>
      <c r="F61" s="94"/>
      <c r="G61" s="49"/>
      <c r="H61" s="70"/>
      <c r="I61" s="1"/>
      <c r="J61" s="1"/>
      <c r="K61" s="1"/>
    </row>
    <row r="62" spans="1:11" ht="19.5" thickBot="1" x14ac:dyDescent="0.35">
      <c r="A62" s="79" t="s">
        <v>81</v>
      </c>
      <c r="B62" s="49"/>
      <c r="C62" s="49"/>
      <c r="D62" s="49"/>
      <c r="E62" s="49"/>
      <c r="F62" s="49"/>
      <c r="G62" s="49"/>
      <c r="H62" s="70"/>
      <c r="I62" s="1"/>
      <c r="J62" s="1"/>
      <c r="K62" s="1"/>
    </row>
    <row r="63" spans="1:11" ht="19.5" thickBot="1" x14ac:dyDescent="0.35">
      <c r="A63" s="79"/>
      <c r="B63" s="49" t="s">
        <v>82</v>
      </c>
      <c r="C63" s="49"/>
      <c r="D63" s="68">
        <f>+H63/D33</f>
        <v>45722.390085829393</v>
      </c>
      <c r="E63" s="49" t="s">
        <v>59</v>
      </c>
      <c r="F63" s="73">
        <v>70</v>
      </c>
      <c r="G63" s="49" t="s">
        <v>83</v>
      </c>
      <c r="H63" s="99">
        <f>F63*H8</f>
        <v>10990700</v>
      </c>
      <c r="I63" s="1"/>
      <c r="J63" s="1"/>
      <c r="K63" s="1"/>
    </row>
    <row r="64" spans="1:11" ht="12.75" customHeight="1" x14ac:dyDescent="0.3">
      <c r="A64" s="79"/>
      <c r="B64" s="49" t="s">
        <v>84</v>
      </c>
      <c r="C64" s="49"/>
      <c r="D64" s="68">
        <v>300000</v>
      </c>
      <c r="E64" s="49" t="s">
        <v>59</v>
      </c>
      <c r="F64" s="67">
        <f>H18</f>
        <v>0</v>
      </c>
      <c r="G64" s="49" t="s">
        <v>35</v>
      </c>
      <c r="H64" s="70">
        <f>+F64*D64</f>
        <v>0</v>
      </c>
      <c r="I64" s="1"/>
      <c r="J64" s="1"/>
      <c r="K64" s="1"/>
    </row>
    <row r="65" spans="1:10" x14ac:dyDescent="0.25">
      <c r="A65" s="38"/>
      <c r="B65" s="49" t="s">
        <v>57</v>
      </c>
      <c r="C65" s="49"/>
      <c r="D65" s="49"/>
      <c r="E65" s="49"/>
      <c r="F65" s="73">
        <f>280*0.92</f>
        <v>257.60000000000002</v>
      </c>
      <c r="G65" s="49" t="s">
        <v>85</v>
      </c>
      <c r="H65" s="70">
        <f>+F65*E34</f>
        <v>58825536.000000007</v>
      </c>
      <c r="I65" s="1"/>
      <c r="J65" s="1"/>
    </row>
    <row r="66" spans="1:10" x14ac:dyDescent="0.25">
      <c r="A66" s="38"/>
      <c r="B66" s="49" t="s">
        <v>46</v>
      </c>
      <c r="C66" s="49"/>
      <c r="D66" s="49"/>
      <c r="E66" s="49"/>
      <c r="F66" s="73">
        <v>280</v>
      </c>
      <c r="G66" s="49" t="s">
        <v>85</v>
      </c>
      <c r="H66" s="70">
        <f>F66*(E35)</f>
        <v>0</v>
      </c>
      <c r="I66" s="1"/>
      <c r="J66" s="1"/>
    </row>
    <row r="67" spans="1:10" x14ac:dyDescent="0.25">
      <c r="A67" s="38"/>
      <c r="B67" s="49" t="s">
        <v>86</v>
      </c>
      <c r="C67" s="49" t="s">
        <v>87</v>
      </c>
      <c r="D67" s="67">
        <f>+D32</f>
        <v>180.2842105263158</v>
      </c>
      <c r="E67" s="32" t="s">
        <v>88</v>
      </c>
      <c r="F67" s="68">
        <v>35000</v>
      </c>
      <c r="G67" s="49" t="s">
        <v>89</v>
      </c>
      <c r="H67" s="70">
        <f>+F67*D32</f>
        <v>6309947.3684210535</v>
      </c>
      <c r="I67" s="1"/>
      <c r="J67" s="1"/>
    </row>
    <row r="68" spans="1:10" x14ac:dyDescent="0.25">
      <c r="A68" s="38"/>
      <c r="B68" s="74" t="s">
        <v>90</v>
      </c>
      <c r="C68" s="74"/>
      <c r="D68" s="74"/>
      <c r="E68" s="74"/>
      <c r="F68" s="87">
        <v>0.2</v>
      </c>
      <c r="G68" s="74" t="s">
        <v>91</v>
      </c>
      <c r="H68" s="77">
        <f>ROUND((H65+H66)*F68,-5)</f>
        <v>11800000</v>
      </c>
      <c r="I68" s="1"/>
      <c r="J68" s="1"/>
    </row>
    <row r="69" spans="1:10" x14ac:dyDescent="0.25">
      <c r="A69" s="38"/>
      <c r="B69" s="49"/>
      <c r="C69" s="49"/>
      <c r="D69" s="49"/>
      <c r="E69" s="49"/>
      <c r="F69" s="49"/>
      <c r="G69" s="93" t="s">
        <v>78</v>
      </c>
      <c r="H69" s="70">
        <f>ROUND(SUM(H63:H68),-5)</f>
        <v>87900000</v>
      </c>
      <c r="I69" s="1"/>
      <c r="J69" s="1"/>
    </row>
    <row r="70" spans="1:10" x14ac:dyDescent="0.25">
      <c r="A70" s="38"/>
      <c r="B70" s="49"/>
      <c r="C70" s="49"/>
      <c r="D70" s="49"/>
      <c r="E70" s="49"/>
      <c r="F70" s="49"/>
      <c r="G70" s="93" t="s">
        <v>80</v>
      </c>
      <c r="H70" s="70">
        <f>+H69/(E34+E35)</f>
        <v>384.91854965843407</v>
      </c>
      <c r="I70" s="1"/>
      <c r="J70" s="1"/>
    </row>
    <row r="71" spans="1:10" x14ac:dyDescent="0.25">
      <c r="A71" s="38"/>
      <c r="B71" s="49"/>
      <c r="C71" s="49"/>
      <c r="D71" s="49"/>
      <c r="E71" s="49"/>
      <c r="F71" s="49"/>
      <c r="G71" s="93" t="s">
        <v>59</v>
      </c>
      <c r="H71" s="70">
        <f>+H69/H11</f>
        <v>365672.62217551237</v>
      </c>
      <c r="I71" s="1"/>
      <c r="J71" s="1">
        <v>486340.6795224977</v>
      </c>
    </row>
    <row r="72" spans="1:10" x14ac:dyDescent="0.25">
      <c r="A72" s="38"/>
      <c r="B72" s="49"/>
      <c r="C72" s="49"/>
      <c r="D72" s="49"/>
      <c r="E72" s="49"/>
      <c r="F72" s="49"/>
      <c r="G72" s="49"/>
      <c r="H72" s="70"/>
      <c r="I72" s="1"/>
      <c r="J72" s="1"/>
    </row>
    <row r="73" spans="1:10" ht="18.75" x14ac:dyDescent="0.3">
      <c r="A73" s="100" t="s">
        <v>92</v>
      </c>
      <c r="B73" s="49"/>
      <c r="C73" s="49"/>
      <c r="D73" s="49"/>
      <c r="E73" s="93" t="s">
        <v>93</v>
      </c>
      <c r="F73" s="80">
        <f>+H53/H69</f>
        <v>6.0858346861289749E-2</v>
      </c>
      <c r="G73" s="93" t="s">
        <v>94</v>
      </c>
      <c r="H73" s="70">
        <f>+H57-H69</f>
        <v>19100000</v>
      </c>
      <c r="I73" s="1"/>
      <c r="J73" s="1"/>
    </row>
    <row r="74" spans="1:10" ht="15.75" thickBot="1" x14ac:dyDescent="0.3">
      <c r="A74" s="101"/>
      <c r="B74" s="102"/>
      <c r="C74" s="102"/>
      <c r="D74" s="103"/>
      <c r="E74" s="103"/>
      <c r="F74" s="103"/>
      <c r="G74" s="102"/>
      <c r="H74" s="104"/>
      <c r="I74" s="1"/>
      <c r="J74" s="1"/>
    </row>
    <row r="75" spans="1:10" x14ac:dyDescent="0.25">
      <c r="A75" s="38"/>
      <c r="B75" s="32"/>
      <c r="C75" s="32"/>
      <c r="D75" s="32"/>
      <c r="E75" s="32"/>
      <c r="F75" s="32"/>
      <c r="G75" s="32"/>
      <c r="H75" s="32"/>
      <c r="I75" s="1"/>
      <c r="J75" s="1"/>
    </row>
    <row r="77" spans="1:10" ht="15.75" thickBo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</row>
    <row r="78" spans="1:10" ht="18.75" x14ac:dyDescent="0.3">
      <c r="A78" s="3" t="s">
        <v>7</v>
      </c>
      <c r="B78" s="4"/>
      <c r="C78" s="5" t="s">
        <v>8</v>
      </c>
      <c r="D78" s="6" t="s">
        <v>9</v>
      </c>
      <c r="E78" s="7"/>
      <c r="F78" s="7"/>
      <c r="G78" s="8" t="s">
        <v>10</v>
      </c>
      <c r="H78" s="25" t="s">
        <v>11</v>
      </c>
      <c r="I78" s="1"/>
      <c r="J78" s="1"/>
    </row>
    <row r="79" spans="1:10" ht="18.75" x14ac:dyDescent="0.3">
      <c r="A79" s="26" t="s">
        <v>95</v>
      </c>
      <c r="B79" s="27"/>
      <c r="C79" s="11"/>
      <c r="D79" s="28" t="s">
        <v>1</v>
      </c>
      <c r="E79" s="12" t="s">
        <v>13</v>
      </c>
      <c r="F79" s="29"/>
      <c r="G79" s="30" t="s">
        <v>14</v>
      </c>
      <c r="H79" s="31">
        <v>93255</v>
      </c>
      <c r="I79" s="1"/>
      <c r="J79" s="1"/>
    </row>
    <row r="80" spans="1:10" ht="19.5" thickBot="1" x14ac:dyDescent="0.35">
      <c r="A80" s="26"/>
      <c r="B80" s="27"/>
      <c r="C80" s="32"/>
      <c r="D80" s="11" t="s">
        <v>16</v>
      </c>
      <c r="E80" s="12"/>
      <c r="F80" s="33"/>
      <c r="G80" s="14" t="s">
        <v>4</v>
      </c>
      <c r="H80" s="15">
        <f>H81/H79</f>
        <v>1.9423623398209211</v>
      </c>
      <c r="I80" s="1"/>
      <c r="J80" s="1"/>
    </row>
    <row r="81" spans="1:10" ht="19.5" thickBot="1" x14ac:dyDescent="0.35">
      <c r="A81" s="34" t="s">
        <v>17</v>
      </c>
      <c r="B81" s="35"/>
      <c r="C81" s="36"/>
      <c r="D81" s="11" t="s">
        <v>18</v>
      </c>
      <c r="E81" s="17"/>
      <c r="F81" s="17"/>
      <c r="G81" s="37" t="s">
        <v>19</v>
      </c>
      <c r="H81" s="31">
        <v>181135</v>
      </c>
      <c r="I81" s="1"/>
      <c r="J81" s="105" t="s">
        <v>96</v>
      </c>
    </row>
    <row r="82" spans="1:10" ht="18.75" x14ac:dyDescent="0.3">
      <c r="A82" s="38"/>
      <c r="B82" s="32"/>
      <c r="C82" s="36"/>
      <c r="D82" s="11" t="s">
        <v>5</v>
      </c>
      <c r="E82" s="17"/>
      <c r="F82" s="17"/>
      <c r="G82" s="18">
        <f>G11</f>
        <v>950</v>
      </c>
      <c r="H82" s="39">
        <f>H81/G82</f>
        <v>190.66842105263157</v>
      </c>
      <c r="I82" s="1"/>
      <c r="J82" s="106">
        <f>H11+H82</f>
        <v>431.04736842105262</v>
      </c>
    </row>
    <row r="83" spans="1:10" ht="18.75" x14ac:dyDescent="0.3">
      <c r="A83" s="38"/>
      <c r="B83" s="32"/>
      <c r="C83" s="1"/>
      <c r="D83" s="11" t="s">
        <v>20</v>
      </c>
      <c r="E83" s="17"/>
      <c r="F83" s="17"/>
      <c r="G83" s="41"/>
      <c r="H83" s="42">
        <v>0.75</v>
      </c>
      <c r="I83" s="1"/>
      <c r="J83" s="107"/>
    </row>
    <row r="84" spans="1:10" ht="18.75" x14ac:dyDescent="0.3">
      <c r="A84" s="38"/>
      <c r="B84" s="32"/>
      <c r="C84" s="21" t="s">
        <v>21</v>
      </c>
      <c r="D84" s="21" t="s">
        <v>6</v>
      </c>
      <c r="E84" s="22"/>
      <c r="F84" s="22"/>
      <c r="G84" s="21"/>
      <c r="H84" s="23">
        <v>25</v>
      </c>
      <c r="I84" s="44">
        <f>H82*0.13</f>
        <v>24.786894736842104</v>
      </c>
      <c r="J84" s="108">
        <f>H13+H84</f>
        <v>56.249263157894738</v>
      </c>
    </row>
    <row r="85" spans="1:10" ht="18.75" x14ac:dyDescent="0.3">
      <c r="A85" s="38"/>
      <c r="B85" s="32"/>
      <c r="C85" s="45"/>
      <c r="D85" s="21" t="s">
        <v>97</v>
      </c>
      <c r="E85" s="22"/>
      <c r="F85" s="22"/>
      <c r="G85" s="21"/>
      <c r="H85" s="23">
        <v>0</v>
      </c>
      <c r="I85" s="1"/>
      <c r="J85" s="108"/>
    </row>
    <row r="86" spans="1:10" ht="18.75" x14ac:dyDescent="0.3">
      <c r="A86" s="38"/>
      <c r="B86" s="32"/>
      <c r="C86" s="45"/>
      <c r="D86" s="21" t="s">
        <v>23</v>
      </c>
      <c r="E86" s="22"/>
      <c r="F86" s="22"/>
      <c r="G86" s="21"/>
      <c r="H86" s="23">
        <f>SUM(H84:H85)</f>
        <v>25</v>
      </c>
      <c r="I86" s="1"/>
      <c r="J86" s="108">
        <f>H15+H86</f>
        <v>56.249263157894738</v>
      </c>
    </row>
    <row r="87" spans="1:10" ht="19.5" thickBot="1" x14ac:dyDescent="0.35">
      <c r="A87" s="38"/>
      <c r="B87" s="32"/>
      <c r="C87" s="1"/>
      <c r="D87" s="21" t="s">
        <v>24</v>
      </c>
      <c r="E87" s="22"/>
      <c r="F87" s="22"/>
      <c r="G87" s="21"/>
      <c r="H87" s="46">
        <f>H86/H82</f>
        <v>0.13111767466254451</v>
      </c>
      <c r="I87" s="1"/>
      <c r="J87" s="109">
        <f>J86/J82</f>
        <v>0.1304943894308844</v>
      </c>
    </row>
    <row r="88" spans="1:10" ht="18.75" x14ac:dyDescent="0.3">
      <c r="A88" s="38"/>
      <c r="B88" s="32"/>
      <c r="C88" s="45"/>
      <c r="D88" s="21" t="s">
        <v>17</v>
      </c>
      <c r="E88" s="22"/>
      <c r="F88" s="22"/>
      <c r="G88" s="21"/>
      <c r="H88" s="47">
        <f>H84/H86</f>
        <v>1</v>
      </c>
      <c r="I88" s="1"/>
      <c r="J88" s="1"/>
    </row>
    <row r="89" spans="1:10" ht="18.75" x14ac:dyDescent="0.3">
      <c r="A89" s="38"/>
      <c r="B89" s="32"/>
      <c r="C89" s="36"/>
      <c r="D89" s="21" t="s">
        <v>98</v>
      </c>
      <c r="E89" s="22"/>
      <c r="F89" s="22"/>
      <c r="G89" s="21"/>
      <c r="H89" s="23">
        <v>0</v>
      </c>
      <c r="I89" s="1"/>
      <c r="J89" s="1"/>
    </row>
    <row r="90" spans="1:10" ht="18.75" x14ac:dyDescent="0.3">
      <c r="A90" s="38"/>
      <c r="B90" s="32"/>
      <c r="C90" s="36"/>
      <c r="D90" s="21" t="s">
        <v>27</v>
      </c>
      <c r="E90" s="22"/>
      <c r="F90" s="22"/>
      <c r="G90" s="21"/>
      <c r="H90" s="48">
        <v>300000</v>
      </c>
      <c r="I90" s="1"/>
      <c r="J90" s="1"/>
    </row>
    <row r="91" spans="1:10" ht="19.5" thickBot="1" x14ac:dyDescent="0.35">
      <c r="A91" s="38"/>
      <c r="B91" s="32"/>
      <c r="C91" s="49"/>
      <c r="D91" s="45"/>
      <c r="E91" s="45"/>
      <c r="F91" s="49"/>
      <c r="G91" s="45"/>
      <c r="H91" s="50"/>
      <c r="I91" s="1"/>
      <c r="J91" s="1"/>
    </row>
    <row r="92" spans="1:10" ht="19.5" thickBot="1" x14ac:dyDescent="0.35">
      <c r="A92" s="38"/>
      <c r="B92" s="32"/>
      <c r="C92" s="51" t="s">
        <v>28</v>
      </c>
      <c r="D92" s="51" t="s">
        <v>29</v>
      </c>
      <c r="E92" s="52"/>
      <c r="F92" s="53">
        <v>6.0999999999999999E-2</v>
      </c>
      <c r="G92" s="54" t="s">
        <v>30</v>
      </c>
      <c r="H92" s="55">
        <f>+F143</f>
        <v>6.2999232987329415E-2</v>
      </c>
      <c r="I92" s="1"/>
      <c r="J92" s="1"/>
    </row>
    <row r="93" spans="1:10" ht="18.75" x14ac:dyDescent="0.3">
      <c r="A93" s="38"/>
      <c r="B93" s="32"/>
      <c r="C93" s="36"/>
      <c r="D93" s="51" t="s">
        <v>31</v>
      </c>
      <c r="E93" s="52"/>
      <c r="F93" s="56">
        <f>F23</f>
        <v>3.65</v>
      </c>
      <c r="G93" s="51" t="s">
        <v>32</v>
      </c>
      <c r="H93" s="57"/>
      <c r="I93" s="1"/>
      <c r="J93" s="1"/>
    </row>
    <row r="94" spans="1:10" ht="19.5" thickBot="1" x14ac:dyDescent="0.35">
      <c r="A94" s="38"/>
      <c r="B94" s="32"/>
      <c r="C94" s="32"/>
      <c r="D94" s="36"/>
      <c r="E94" s="45"/>
      <c r="F94" s="49"/>
      <c r="G94" s="45"/>
      <c r="H94" s="58"/>
      <c r="I94" s="1"/>
      <c r="J94" s="1"/>
    </row>
    <row r="95" spans="1:10" ht="18.75" x14ac:dyDescent="0.3">
      <c r="A95" s="59" t="s">
        <v>33</v>
      </c>
      <c r="B95" s="60"/>
      <c r="C95" s="60"/>
      <c r="D95" s="60"/>
      <c r="E95" s="60"/>
      <c r="F95" s="60"/>
      <c r="G95" s="60"/>
      <c r="H95" s="61"/>
      <c r="I95" s="1"/>
      <c r="J95" s="1"/>
    </row>
    <row r="96" spans="1:10" ht="30" x14ac:dyDescent="0.25">
      <c r="A96" s="62" t="s">
        <v>34</v>
      </c>
      <c r="B96" s="63"/>
      <c r="C96" s="63"/>
      <c r="D96" s="64" t="s">
        <v>35</v>
      </c>
      <c r="E96" s="64" t="s">
        <v>36</v>
      </c>
      <c r="F96" s="64" t="s">
        <v>37</v>
      </c>
      <c r="G96" s="64" t="s">
        <v>38</v>
      </c>
      <c r="H96" s="65" t="s">
        <v>39</v>
      </c>
      <c r="I96" s="1"/>
      <c r="J96" s="1"/>
    </row>
    <row r="97" spans="1:8" x14ac:dyDescent="0.25">
      <c r="A97" s="38"/>
      <c r="B97" s="49" t="s">
        <v>40</v>
      </c>
      <c r="C97" s="49" t="s">
        <v>41</v>
      </c>
      <c r="D97" s="66">
        <f>ROUND(H82-D98-D99,0)</f>
        <v>166</v>
      </c>
      <c r="E97" s="67">
        <v>810</v>
      </c>
      <c r="F97" s="68">
        <f>+G97*E97</f>
        <v>2956.5</v>
      </c>
      <c r="G97" s="69">
        <f>F93</f>
        <v>3.65</v>
      </c>
      <c r="H97" s="70">
        <f>+D97*F97*12</f>
        <v>5889348</v>
      </c>
    </row>
    <row r="98" spans="1:8" x14ac:dyDescent="0.25">
      <c r="A98" s="38"/>
      <c r="B98" s="71" t="s">
        <v>42</v>
      </c>
      <c r="C98" s="49" t="s">
        <v>43</v>
      </c>
      <c r="D98" s="66">
        <f>H84</f>
        <v>25</v>
      </c>
      <c r="E98" s="67">
        <v>810</v>
      </c>
      <c r="F98" s="68">
        <v>1098.26</v>
      </c>
      <c r="G98" s="72">
        <f>IF(H98=0,0,+H98/(E98*D98)/12)</f>
        <v>1.3558765432098765</v>
      </c>
      <c r="H98" s="70">
        <f>+F98*D98*12</f>
        <v>329478</v>
      </c>
    </row>
    <row r="99" spans="1:8" x14ac:dyDescent="0.25">
      <c r="A99" s="38"/>
      <c r="B99" s="71" t="s">
        <v>44</v>
      </c>
      <c r="C99" s="49" t="s">
        <v>45</v>
      </c>
      <c r="D99" s="66">
        <f>H85</f>
        <v>0</v>
      </c>
      <c r="E99" s="67">
        <v>810</v>
      </c>
      <c r="F99" s="68">
        <v>784.93925925925919</v>
      </c>
      <c r="G99" s="73">
        <f>IF(H99=0,0,+H99/(E99*D99)/12)</f>
        <v>0</v>
      </c>
      <c r="H99" s="70">
        <f>+F99*D99*12</f>
        <v>0</v>
      </c>
    </row>
    <row r="100" spans="1:8" x14ac:dyDescent="0.25">
      <c r="A100" s="38"/>
      <c r="B100" s="49" t="s">
        <v>46</v>
      </c>
      <c r="C100" s="49" t="s">
        <v>47</v>
      </c>
      <c r="D100" s="67">
        <v>0</v>
      </c>
      <c r="E100" s="67">
        <v>0</v>
      </c>
      <c r="F100" s="73">
        <v>0</v>
      </c>
      <c r="G100" s="73">
        <v>0</v>
      </c>
      <c r="H100" s="70">
        <f>+G100*E100*D100</f>
        <v>0</v>
      </c>
    </row>
    <row r="101" spans="1:8" x14ac:dyDescent="0.25">
      <c r="A101" s="38"/>
      <c r="B101" s="49"/>
      <c r="C101" s="49" t="s">
        <v>48</v>
      </c>
      <c r="D101" s="67">
        <v>0</v>
      </c>
      <c r="E101" s="67">
        <v>5000</v>
      </c>
      <c r="F101" s="73">
        <f>+G101/12</f>
        <v>0</v>
      </c>
      <c r="G101" s="73">
        <v>0</v>
      </c>
      <c r="H101" s="70">
        <f>+G101*E101*D101</f>
        <v>0</v>
      </c>
    </row>
    <row r="102" spans="1:8" x14ac:dyDescent="0.25">
      <c r="A102" s="38"/>
      <c r="B102" s="74" t="s">
        <v>49</v>
      </c>
      <c r="C102" s="74"/>
      <c r="D102" s="75">
        <f>+H82*H83</f>
        <v>143.00131578947367</v>
      </c>
      <c r="E102" s="76"/>
      <c r="F102" s="76"/>
      <c r="G102" s="76">
        <v>250</v>
      </c>
      <c r="H102" s="77">
        <f>+D102*G102*12</f>
        <v>429003.94736842095</v>
      </c>
    </row>
    <row r="103" spans="1:8" x14ac:dyDescent="0.25">
      <c r="A103" s="38"/>
      <c r="B103" s="49" t="s">
        <v>50</v>
      </c>
      <c r="C103" s="49"/>
      <c r="D103" s="66">
        <f>+H82</f>
        <v>190.66842105263157</v>
      </c>
      <c r="E103" s="67">
        <f>(E97*D97)+(E98*D98)</f>
        <v>154710</v>
      </c>
      <c r="F103" s="73"/>
      <c r="G103" s="68"/>
      <c r="H103" s="70">
        <f>SUM(H97:H102)</f>
        <v>6647829.9473684207</v>
      </c>
    </row>
    <row r="104" spans="1:8" x14ac:dyDescent="0.25">
      <c r="A104" s="38"/>
      <c r="B104" s="49" t="s">
        <v>51</v>
      </c>
      <c r="C104" s="49"/>
      <c r="D104" s="78">
        <v>0.85</v>
      </c>
      <c r="E104" s="67">
        <f>+H81</f>
        <v>181135</v>
      </c>
      <c r="F104" s="68"/>
      <c r="G104" s="68"/>
      <c r="H104" s="70"/>
    </row>
    <row r="105" spans="1:8" x14ac:dyDescent="0.25">
      <c r="A105" s="38"/>
      <c r="B105" s="49" t="s">
        <v>52</v>
      </c>
      <c r="C105" s="49"/>
      <c r="D105" s="78">
        <v>1</v>
      </c>
      <c r="E105" s="67">
        <f>(E100*D100)+(D101*E101)</f>
        <v>0</v>
      </c>
      <c r="F105" s="68"/>
      <c r="G105" s="68"/>
      <c r="H105" s="70"/>
    </row>
    <row r="106" spans="1:8" x14ac:dyDescent="0.25">
      <c r="A106" s="38"/>
      <c r="B106" s="49"/>
      <c r="C106" s="49"/>
      <c r="D106" s="67"/>
      <c r="E106" s="68"/>
      <c r="F106" s="68"/>
      <c r="G106" s="68"/>
      <c r="H106" s="70"/>
    </row>
    <row r="107" spans="1:8" ht="18.75" x14ac:dyDescent="0.3">
      <c r="A107" s="79" t="s">
        <v>53</v>
      </c>
      <c r="B107" s="49"/>
      <c r="C107" s="49" t="str">
        <f>+C97</f>
        <v>Market Rate</v>
      </c>
      <c r="D107" s="67"/>
      <c r="E107" s="68"/>
      <c r="F107" s="68"/>
      <c r="G107" s="80">
        <v>0.05</v>
      </c>
      <c r="H107" s="70">
        <f>-G107*H97</f>
        <v>-294467.40000000002</v>
      </c>
    </row>
    <row r="108" spans="1:8" ht="12.75" customHeight="1" x14ac:dyDescent="0.3">
      <c r="A108" s="79"/>
      <c r="B108" s="49"/>
      <c r="C108" s="49" t="str">
        <f>+C98</f>
        <v>Low Income</v>
      </c>
      <c r="D108" s="67"/>
      <c r="E108" s="68"/>
      <c r="F108" s="68"/>
      <c r="G108" s="80">
        <v>0</v>
      </c>
      <c r="H108" s="70">
        <f>-G108*H98</f>
        <v>0</v>
      </c>
    </row>
    <row r="109" spans="1:8" ht="12.75" customHeight="1" x14ac:dyDescent="0.3">
      <c r="A109" s="79"/>
      <c r="B109" s="49"/>
      <c r="C109" s="49" t="str">
        <f>+C100</f>
        <v>Market Rate Retail</v>
      </c>
      <c r="D109" s="67"/>
      <c r="E109" s="68"/>
      <c r="F109" s="68"/>
      <c r="G109" s="80">
        <v>0.1</v>
      </c>
      <c r="H109" s="70">
        <f>-G109*H100</f>
        <v>0</v>
      </c>
    </row>
    <row r="110" spans="1:8" x14ac:dyDescent="0.25">
      <c r="A110" s="38"/>
      <c r="B110" s="74"/>
      <c r="C110" s="74" t="str">
        <f>+C101</f>
        <v>Affordable Innovation</v>
      </c>
      <c r="D110" s="75"/>
      <c r="E110" s="76"/>
      <c r="F110" s="76"/>
      <c r="G110" s="81">
        <v>0.2</v>
      </c>
      <c r="H110" s="77">
        <f>-G110*H101</f>
        <v>0</v>
      </c>
    </row>
    <row r="111" spans="1:8" x14ac:dyDescent="0.25">
      <c r="A111" s="38"/>
      <c r="B111" s="49" t="s">
        <v>54</v>
      </c>
      <c r="C111" s="49"/>
      <c r="D111" s="67"/>
      <c r="E111" s="68"/>
      <c r="F111" s="68"/>
      <c r="G111" s="80"/>
      <c r="H111" s="70">
        <f>SUM(H107:H110)</f>
        <v>-294467.40000000002</v>
      </c>
    </row>
    <row r="112" spans="1:8" s="83" customFormat="1" ht="18.75" x14ac:dyDescent="0.3">
      <c r="A112" s="82"/>
      <c r="C112" s="45"/>
      <c r="D112" s="49"/>
      <c r="E112" s="49"/>
      <c r="F112" s="84"/>
      <c r="G112" s="85"/>
      <c r="H112" s="70"/>
    </row>
    <row r="113" spans="1:11" ht="18.75" x14ac:dyDescent="0.3">
      <c r="A113" s="79" t="s">
        <v>55</v>
      </c>
      <c r="B113" s="49"/>
      <c r="C113" s="49"/>
      <c r="D113" s="67"/>
      <c r="E113" s="68"/>
      <c r="F113" s="68"/>
      <c r="G113" s="68"/>
      <c r="H113" s="70">
        <f>+H103+H111</f>
        <v>6353362.5473684203</v>
      </c>
      <c r="I113" s="1"/>
      <c r="J113" s="1"/>
      <c r="K113" s="1"/>
    </row>
    <row r="114" spans="1:11" x14ac:dyDescent="0.25">
      <c r="A114" s="38"/>
      <c r="B114" s="49"/>
      <c r="C114" s="49"/>
      <c r="D114" s="67"/>
      <c r="E114" s="68"/>
      <c r="F114" s="68"/>
      <c r="G114" s="68"/>
      <c r="H114" s="70"/>
      <c r="I114" s="1"/>
      <c r="J114" s="1"/>
      <c r="K114" s="1"/>
    </row>
    <row r="115" spans="1:11" ht="18.75" x14ac:dyDescent="0.3">
      <c r="A115" s="79" t="s">
        <v>56</v>
      </c>
      <c r="B115" s="49"/>
      <c r="C115" s="49"/>
      <c r="D115" s="49"/>
      <c r="E115" s="49"/>
      <c r="F115" s="49"/>
      <c r="G115" s="49"/>
      <c r="H115" s="70"/>
      <c r="I115" s="1"/>
      <c r="J115" s="1" t="s">
        <v>99</v>
      </c>
      <c r="K115" s="1"/>
    </row>
    <row r="116" spans="1:11" x14ac:dyDescent="0.25">
      <c r="A116" s="38"/>
      <c r="B116" s="49" t="s">
        <v>57</v>
      </c>
      <c r="C116" s="49" t="s">
        <v>58</v>
      </c>
      <c r="D116" s="49"/>
      <c r="E116" s="49"/>
      <c r="F116" s="68">
        <v>7500</v>
      </c>
      <c r="G116" s="68" t="s">
        <v>59</v>
      </c>
      <c r="H116" s="70">
        <f>-F116*D103</f>
        <v>-1430013.1578947369</v>
      </c>
      <c r="I116" s="1"/>
      <c r="J116" s="1"/>
      <c r="K116" s="1"/>
    </row>
    <row r="117" spans="1:11" x14ac:dyDescent="0.25">
      <c r="A117" s="38"/>
      <c r="B117" s="49"/>
      <c r="C117" s="49" t="s">
        <v>60</v>
      </c>
      <c r="D117" s="78">
        <v>7.0000000000000007E-2</v>
      </c>
      <c r="E117" s="49" t="s">
        <v>61</v>
      </c>
      <c r="F117" s="68">
        <f>ROUND(-H117/D103,-2)</f>
        <v>2400</v>
      </c>
      <c r="G117" s="68" t="s">
        <v>59</v>
      </c>
      <c r="H117" s="70">
        <f>(H97+H98+H102)*-D117</f>
        <v>-465348.0963157895</v>
      </c>
      <c r="I117" s="1"/>
      <c r="J117" s="1"/>
      <c r="K117" s="1"/>
    </row>
    <row r="118" spans="1:11" x14ac:dyDescent="0.25">
      <c r="A118" s="38"/>
      <c r="B118" s="49"/>
      <c r="C118" s="49" t="s">
        <v>62</v>
      </c>
      <c r="D118" s="80">
        <v>2.5000000000000001E-2</v>
      </c>
      <c r="E118" s="49" t="s">
        <v>63</v>
      </c>
      <c r="F118" s="68">
        <f>-H118/D103</f>
        <v>828.06560403842434</v>
      </c>
      <c r="G118" s="68" t="s">
        <v>59</v>
      </c>
      <c r="H118" s="70">
        <f>-D118*((H97+H98+H102)*(1-G107))</f>
        <v>-157885.96124999999</v>
      </c>
      <c r="I118" s="1"/>
      <c r="J118" s="1"/>
      <c r="K118" s="1"/>
    </row>
    <row r="119" spans="1:11" x14ac:dyDescent="0.25">
      <c r="A119" s="38"/>
      <c r="B119" s="49"/>
      <c r="C119" s="49" t="s">
        <v>64</v>
      </c>
      <c r="D119" s="49"/>
      <c r="E119" s="49"/>
      <c r="F119" s="68">
        <v>250</v>
      </c>
      <c r="G119" s="68" t="s">
        <v>59</v>
      </c>
      <c r="H119" s="70">
        <f>-F119*D103</f>
        <v>-47667.105263157893</v>
      </c>
      <c r="I119" s="1"/>
      <c r="J119" s="1"/>
      <c r="K119" s="1"/>
    </row>
    <row r="120" spans="1:11" x14ac:dyDescent="0.25">
      <c r="A120" s="38"/>
      <c r="B120" s="74" t="s">
        <v>46</v>
      </c>
      <c r="C120" s="86" t="s">
        <v>65</v>
      </c>
      <c r="D120" s="74"/>
      <c r="E120" s="74"/>
      <c r="F120" s="87">
        <v>0.02</v>
      </c>
      <c r="G120" s="74" t="s">
        <v>66</v>
      </c>
      <c r="H120" s="77">
        <f>-F120*(H100+H101)</f>
        <v>0</v>
      </c>
      <c r="I120" s="1"/>
      <c r="J120" s="1"/>
      <c r="K120" s="1"/>
    </row>
    <row r="121" spans="1:11" x14ac:dyDescent="0.25">
      <c r="A121" s="38"/>
      <c r="B121" s="49" t="s">
        <v>67</v>
      </c>
      <c r="C121" s="49"/>
      <c r="D121" s="78">
        <f>-H121/H113</f>
        <v>0.33067754359364998</v>
      </c>
      <c r="E121" s="68" t="s">
        <v>68</v>
      </c>
      <c r="F121" s="68">
        <f>-H121/D103</f>
        <v>11018.680015941149</v>
      </c>
      <c r="G121" s="68" t="s">
        <v>59</v>
      </c>
      <c r="H121" s="70">
        <f>SUM(H116:H120)</f>
        <v>-2100914.320723684</v>
      </c>
      <c r="I121" s="1"/>
      <c r="J121" s="1"/>
      <c r="K121" s="1"/>
    </row>
    <row r="122" spans="1:11" ht="15.75" thickBot="1" x14ac:dyDescent="0.3">
      <c r="A122" s="38"/>
      <c r="B122" s="49"/>
      <c r="C122" s="49"/>
      <c r="D122" s="49"/>
      <c r="E122" s="32"/>
      <c r="F122" s="49"/>
      <c r="G122" s="49"/>
      <c r="H122" s="70"/>
      <c r="I122" s="1"/>
      <c r="J122" s="1"/>
      <c r="K122" s="1"/>
    </row>
    <row r="123" spans="1:11" ht="18.75" x14ac:dyDescent="0.3">
      <c r="A123" s="79" t="s">
        <v>69</v>
      </c>
      <c r="B123" s="49"/>
      <c r="C123" s="49"/>
      <c r="D123" s="78">
        <f>+H123/H113</f>
        <v>0.66932245640634991</v>
      </c>
      <c r="E123" s="68" t="s">
        <v>68</v>
      </c>
      <c r="F123" s="68">
        <f>+H123/D103</f>
        <v>22302.844924020752</v>
      </c>
      <c r="G123" s="68" t="s">
        <v>59</v>
      </c>
      <c r="H123" s="70">
        <f>+H113+H121</f>
        <v>4252448.2266447358</v>
      </c>
      <c r="I123" s="1"/>
      <c r="J123" s="88">
        <f>+H123/1.25</f>
        <v>3401958.5813157884</v>
      </c>
      <c r="K123" s="89" t="s">
        <v>70</v>
      </c>
    </row>
    <row r="124" spans="1:11" x14ac:dyDescent="0.25">
      <c r="A124" s="38"/>
      <c r="B124" s="49"/>
      <c r="C124" s="49"/>
      <c r="D124" s="49"/>
      <c r="E124" s="49"/>
      <c r="F124" s="49"/>
      <c r="G124" s="49"/>
      <c r="H124" s="70"/>
      <c r="I124" s="1"/>
      <c r="J124" s="90">
        <f>-J123/(PMT(0.04/12,30*12,1)*12)</f>
        <v>59381538.701349191</v>
      </c>
      <c r="K124" s="91" t="s">
        <v>71</v>
      </c>
    </row>
    <row r="125" spans="1:11" ht="18.75" x14ac:dyDescent="0.3">
      <c r="A125" s="79" t="s">
        <v>72</v>
      </c>
      <c r="B125" s="49"/>
      <c r="C125" s="49"/>
      <c r="D125" s="49"/>
      <c r="E125" s="49"/>
      <c r="F125" s="49"/>
      <c r="G125" s="49"/>
      <c r="H125" s="70"/>
      <c r="I125" s="1"/>
      <c r="J125" s="92">
        <f>+H139-J124</f>
        <v>8118461.2986508086</v>
      </c>
      <c r="K125" s="91" t="s">
        <v>73</v>
      </c>
    </row>
    <row r="126" spans="1:11" x14ac:dyDescent="0.25">
      <c r="A126" s="38"/>
      <c r="B126" s="49" t="s">
        <v>74</v>
      </c>
      <c r="C126" s="49"/>
      <c r="D126" s="49"/>
      <c r="E126" s="93" t="s">
        <v>75</v>
      </c>
      <c r="F126" s="94">
        <v>0.05</v>
      </c>
      <c r="G126" s="49" t="s">
        <v>76</v>
      </c>
      <c r="H126" s="70">
        <f>+H123/F126</f>
        <v>85048964.532894716</v>
      </c>
      <c r="I126" s="1"/>
      <c r="J126" s="92">
        <f>+H123-J123</f>
        <v>850489.64532894734</v>
      </c>
      <c r="K126" s="91" t="s">
        <v>77</v>
      </c>
    </row>
    <row r="127" spans="1:11" ht="15.75" thickBot="1" x14ac:dyDescent="0.3">
      <c r="A127" s="38"/>
      <c r="B127" s="49"/>
      <c r="C127" s="49"/>
      <c r="D127" s="49"/>
      <c r="E127" s="49"/>
      <c r="F127" s="49"/>
      <c r="G127" s="93" t="s">
        <v>78</v>
      </c>
      <c r="H127" s="70">
        <f>ROUND(H126,-5)</f>
        <v>85000000</v>
      </c>
      <c r="I127" s="1"/>
      <c r="J127" s="95">
        <f>+J126/J125</f>
        <v>0.10475995561748734</v>
      </c>
      <c r="K127" s="96" t="s">
        <v>79</v>
      </c>
    </row>
    <row r="128" spans="1:11" x14ac:dyDescent="0.25">
      <c r="A128" s="38"/>
      <c r="B128" s="49"/>
      <c r="C128" s="49"/>
      <c r="D128" s="49"/>
      <c r="E128" s="49"/>
      <c r="F128" s="49"/>
      <c r="G128" s="93" t="s">
        <v>80</v>
      </c>
      <c r="H128" s="70">
        <f>+H127/E104</f>
        <v>469.26325668700139</v>
      </c>
      <c r="I128" s="1"/>
      <c r="J128" s="1"/>
      <c r="K128" s="1"/>
    </row>
    <row r="129" spans="1:11" x14ac:dyDescent="0.25">
      <c r="A129" s="38"/>
      <c r="B129" s="49"/>
      <c r="C129" s="49"/>
      <c r="D129" s="49"/>
      <c r="E129" s="49"/>
      <c r="F129" s="49"/>
      <c r="G129" s="93" t="s">
        <v>59</v>
      </c>
      <c r="H129" s="70">
        <f>+H127/D103</f>
        <v>445800.09385265136</v>
      </c>
      <c r="I129" s="1"/>
      <c r="J129" s="1">
        <v>646091.59779614327</v>
      </c>
      <c r="K129" s="2">
        <f>+J129-H129</f>
        <v>200291.5039434919</v>
      </c>
    </row>
    <row r="130" spans="1:11" x14ac:dyDescent="0.25">
      <c r="A130" s="97"/>
      <c r="B130" s="74"/>
      <c r="C130" s="74"/>
      <c r="D130" s="74"/>
      <c r="E130" s="74"/>
      <c r="F130" s="74"/>
      <c r="G130" s="98"/>
      <c r="H130" s="77"/>
      <c r="I130" s="1"/>
      <c r="J130" s="1"/>
      <c r="K130" s="1"/>
    </row>
    <row r="131" spans="1:11" x14ac:dyDescent="0.25">
      <c r="A131" s="38"/>
      <c r="B131" s="49"/>
      <c r="C131" s="49"/>
      <c r="D131" s="49"/>
      <c r="E131" s="49"/>
      <c r="F131" s="94"/>
      <c r="G131" s="49"/>
      <c r="H131" s="70"/>
      <c r="I131" s="1"/>
      <c r="J131" s="1"/>
      <c r="K131" s="1"/>
    </row>
    <row r="132" spans="1:11" ht="19.5" thickBot="1" x14ac:dyDescent="0.35">
      <c r="A132" s="79" t="s">
        <v>81</v>
      </c>
      <c r="B132" s="49"/>
      <c r="C132" s="49"/>
      <c r="D132" s="49"/>
      <c r="E132" s="49"/>
      <c r="F132" s="49"/>
      <c r="G132" s="49"/>
      <c r="H132" s="70"/>
      <c r="I132" s="1"/>
      <c r="J132" s="1"/>
      <c r="K132" s="1"/>
    </row>
    <row r="133" spans="1:11" ht="19.5" thickBot="1" x14ac:dyDescent="0.35">
      <c r="A133" s="79"/>
      <c r="B133" s="49" t="s">
        <v>82</v>
      </c>
      <c r="C133" s="49"/>
      <c r="D133" s="68">
        <f>+H133/D103</f>
        <v>34236.660501835649</v>
      </c>
      <c r="E133" s="49" t="s">
        <v>59</v>
      </c>
      <c r="F133" s="73">
        <v>70</v>
      </c>
      <c r="G133" s="49" t="s">
        <v>83</v>
      </c>
      <c r="H133" s="99">
        <f>F133*H79</f>
        <v>6527850</v>
      </c>
      <c r="I133" s="1"/>
      <c r="J133" s="1"/>
      <c r="K133" s="1"/>
    </row>
    <row r="134" spans="1:11" ht="12.75" customHeight="1" x14ac:dyDescent="0.3">
      <c r="A134" s="79"/>
      <c r="B134" s="49" t="s">
        <v>84</v>
      </c>
      <c r="C134" s="49"/>
      <c r="D134" s="68">
        <v>300000</v>
      </c>
      <c r="E134" s="49" t="s">
        <v>59</v>
      </c>
      <c r="F134" s="67">
        <f>H89</f>
        <v>0</v>
      </c>
      <c r="G134" s="49" t="s">
        <v>35</v>
      </c>
      <c r="H134" s="70">
        <f>+F134*D134</f>
        <v>0</v>
      </c>
      <c r="I134" s="1"/>
      <c r="J134" s="1"/>
      <c r="K134" s="1"/>
    </row>
    <row r="135" spans="1:11" x14ac:dyDescent="0.25">
      <c r="A135" s="38"/>
      <c r="B135" s="49" t="s">
        <v>57</v>
      </c>
      <c r="C135" s="49"/>
      <c r="D135" s="49"/>
      <c r="E135" s="49"/>
      <c r="F135" s="73">
        <f>280*0.92</f>
        <v>257.60000000000002</v>
      </c>
      <c r="G135" s="49" t="s">
        <v>85</v>
      </c>
      <c r="H135" s="70">
        <f>+F135*E104</f>
        <v>46660376.000000007</v>
      </c>
      <c r="I135" s="1"/>
      <c r="J135" s="1"/>
      <c r="K135" s="1"/>
    </row>
    <row r="136" spans="1:11" x14ac:dyDescent="0.25">
      <c r="A136" s="38"/>
      <c r="B136" s="49" t="s">
        <v>46</v>
      </c>
      <c r="C136" s="49"/>
      <c r="D136" s="49"/>
      <c r="E136" s="49"/>
      <c r="F136" s="73">
        <v>280</v>
      </c>
      <c r="G136" s="49" t="s">
        <v>85</v>
      </c>
      <c r="H136" s="70">
        <f>F136*(E105)</f>
        <v>0</v>
      </c>
      <c r="I136" s="1"/>
      <c r="J136" s="1"/>
      <c r="K136" s="1"/>
    </row>
    <row r="137" spans="1:11" x14ac:dyDescent="0.25">
      <c r="A137" s="38"/>
      <c r="B137" s="49" t="s">
        <v>86</v>
      </c>
      <c r="C137" s="49" t="s">
        <v>87</v>
      </c>
      <c r="D137" s="67">
        <f>+D102</f>
        <v>143.00131578947367</v>
      </c>
      <c r="E137" s="32" t="s">
        <v>88</v>
      </c>
      <c r="F137" s="68">
        <v>35000</v>
      </c>
      <c r="G137" s="49" t="s">
        <v>89</v>
      </c>
      <c r="H137" s="70">
        <f>+F137*D102</f>
        <v>5005046.0526315784</v>
      </c>
      <c r="I137" s="1"/>
      <c r="J137" s="1"/>
      <c r="K137" s="1"/>
    </row>
    <row r="138" spans="1:11" x14ac:dyDescent="0.25">
      <c r="A138" s="38"/>
      <c r="B138" s="74" t="s">
        <v>90</v>
      </c>
      <c r="C138" s="74"/>
      <c r="D138" s="74"/>
      <c r="E138" s="74"/>
      <c r="F138" s="87">
        <v>0.2</v>
      </c>
      <c r="G138" s="74" t="s">
        <v>91</v>
      </c>
      <c r="H138" s="77">
        <f>ROUND((H135+H136)*F138,-5)</f>
        <v>9300000</v>
      </c>
      <c r="I138" s="1"/>
      <c r="J138" s="1"/>
      <c r="K138" s="1"/>
    </row>
    <row r="139" spans="1:11" x14ac:dyDescent="0.25">
      <c r="A139" s="38"/>
      <c r="B139" s="49"/>
      <c r="C139" s="49"/>
      <c r="D139" s="49"/>
      <c r="E139" s="49"/>
      <c r="F139" s="49"/>
      <c r="G139" s="93" t="s">
        <v>78</v>
      </c>
      <c r="H139" s="70">
        <f>ROUND(SUM(H133:H138),-5)</f>
        <v>67500000</v>
      </c>
      <c r="I139" s="1"/>
      <c r="J139" s="1"/>
      <c r="K139" s="1"/>
    </row>
    <row r="140" spans="1:11" x14ac:dyDescent="0.25">
      <c r="A140" s="38"/>
      <c r="B140" s="49"/>
      <c r="C140" s="49"/>
      <c r="D140" s="49"/>
      <c r="E140" s="49"/>
      <c r="F140" s="49"/>
      <c r="G140" s="93" t="s">
        <v>80</v>
      </c>
      <c r="H140" s="70">
        <f>+H139/(E104+E105)</f>
        <v>372.65023325144227</v>
      </c>
      <c r="I140" s="1"/>
      <c r="J140" s="1"/>
      <c r="K140" s="1"/>
    </row>
    <row r="141" spans="1:11" x14ac:dyDescent="0.25">
      <c r="A141" s="38"/>
      <c r="B141" s="49"/>
      <c r="C141" s="49"/>
      <c r="D141" s="49"/>
      <c r="E141" s="49"/>
      <c r="F141" s="49"/>
      <c r="G141" s="93" t="s">
        <v>59</v>
      </c>
      <c r="H141" s="70">
        <f>+H139/H82</f>
        <v>354017.72158887022</v>
      </c>
      <c r="I141" s="1"/>
      <c r="J141" s="1">
        <v>486340.6795224977</v>
      </c>
      <c r="K141" s="1"/>
    </row>
    <row r="142" spans="1:11" x14ac:dyDescent="0.25">
      <c r="A142" s="38"/>
      <c r="B142" s="49"/>
      <c r="C142" s="49"/>
      <c r="D142" s="49"/>
      <c r="E142" s="49"/>
      <c r="F142" s="49"/>
      <c r="G142" s="49"/>
      <c r="H142" s="70"/>
      <c r="I142" s="1"/>
      <c r="J142" s="1"/>
      <c r="K142" s="1"/>
    </row>
    <row r="143" spans="1:11" ht="18.75" x14ac:dyDescent="0.3">
      <c r="A143" s="100" t="s">
        <v>92</v>
      </c>
      <c r="B143" s="49"/>
      <c r="C143" s="49"/>
      <c r="D143" s="49"/>
      <c r="E143" s="93" t="s">
        <v>93</v>
      </c>
      <c r="F143" s="80">
        <f>+H123/H139</f>
        <v>6.2999232987329415E-2</v>
      </c>
      <c r="G143" s="93" t="s">
        <v>94</v>
      </c>
      <c r="H143" s="70">
        <f>+H127-H139</f>
        <v>17500000</v>
      </c>
      <c r="I143" s="1"/>
      <c r="J143" s="1"/>
      <c r="K143" s="1"/>
    </row>
    <row r="144" spans="1:11" ht="15.75" thickBot="1" x14ac:dyDescent="0.3">
      <c r="A144" s="101"/>
      <c r="B144" s="102"/>
      <c r="C144" s="102"/>
      <c r="D144" s="103"/>
      <c r="E144" s="103"/>
      <c r="F144" s="103"/>
      <c r="G144" s="102"/>
      <c r="H144" s="104"/>
      <c r="I144" s="1"/>
      <c r="J144" s="1"/>
      <c r="K144" s="1"/>
    </row>
    <row r="145" spans="1:11" ht="15.75" thickBot="1" x14ac:dyDescent="0.3">
      <c r="A145" s="38"/>
      <c r="B145" s="32"/>
      <c r="C145" s="32"/>
      <c r="D145" s="32"/>
      <c r="E145" s="32"/>
      <c r="F145" s="32"/>
      <c r="G145" s="32"/>
      <c r="H145" s="32"/>
      <c r="I145" s="1"/>
      <c r="J145" s="1"/>
    </row>
    <row r="146" spans="1:11" ht="18.75" x14ac:dyDescent="0.3">
      <c r="A146" s="3" t="s">
        <v>7</v>
      </c>
      <c r="B146" s="4"/>
      <c r="C146" s="5" t="s">
        <v>8</v>
      </c>
      <c r="D146" s="6" t="s">
        <v>9</v>
      </c>
      <c r="E146" s="7"/>
      <c r="F146" s="7"/>
      <c r="G146" s="8" t="s">
        <v>10</v>
      </c>
      <c r="H146" s="25" t="s">
        <v>11</v>
      </c>
      <c r="I146" s="1"/>
      <c r="J146" s="1"/>
    </row>
    <row r="147" spans="1:11" ht="18.75" x14ac:dyDescent="0.3">
      <c r="A147" s="26" t="s">
        <v>12</v>
      </c>
      <c r="B147" s="27"/>
      <c r="C147" s="11"/>
      <c r="D147" s="28" t="s">
        <v>1</v>
      </c>
      <c r="E147" s="12" t="s">
        <v>13</v>
      </c>
      <c r="F147" s="29">
        <v>1</v>
      </c>
      <c r="G147" s="30" t="s">
        <v>14</v>
      </c>
      <c r="H147" s="31">
        <v>113559</v>
      </c>
      <c r="I147" s="1"/>
      <c r="J147" s="1"/>
    </row>
    <row r="148" spans="1:11" ht="18.75" x14ac:dyDescent="0.3">
      <c r="A148" s="26" t="s">
        <v>100</v>
      </c>
      <c r="B148" s="27"/>
      <c r="C148" s="32"/>
      <c r="D148" s="11" t="s">
        <v>16</v>
      </c>
      <c r="E148" s="12"/>
      <c r="F148" s="33"/>
      <c r="G148" s="14" t="s">
        <v>4</v>
      </c>
      <c r="H148" s="15">
        <f>H149/H147</f>
        <v>2.9484232865734992</v>
      </c>
      <c r="I148" s="148" t="s">
        <v>138</v>
      </c>
      <c r="J148" s="146"/>
      <c r="K148" s="144" t="s">
        <v>139</v>
      </c>
    </row>
    <row r="149" spans="1:11" ht="19.5" thickBot="1" x14ac:dyDescent="0.35">
      <c r="A149" s="34" t="s">
        <v>17</v>
      </c>
      <c r="B149" s="35"/>
      <c r="C149" s="36"/>
      <c r="D149" s="11" t="s">
        <v>18</v>
      </c>
      <c r="E149" s="17"/>
      <c r="F149" s="17"/>
      <c r="G149" s="37" t="s">
        <v>19</v>
      </c>
      <c r="H149" s="31">
        <v>334820</v>
      </c>
      <c r="I149" s="145">
        <f>H147*2</f>
        <v>227118</v>
      </c>
      <c r="J149" s="146" t="s">
        <v>137</v>
      </c>
      <c r="K149" s="144">
        <f>I149/G150</f>
        <v>239.07157894736841</v>
      </c>
    </row>
    <row r="150" spans="1:11" ht="18.75" x14ac:dyDescent="0.3">
      <c r="A150" s="38"/>
      <c r="B150" s="32"/>
      <c r="C150" s="36"/>
      <c r="D150" s="11" t="s">
        <v>5</v>
      </c>
      <c r="E150" s="17"/>
      <c r="F150" s="17"/>
      <c r="G150" s="18">
        <f>G82</f>
        <v>950</v>
      </c>
      <c r="H150" s="39">
        <f>H149/G150</f>
        <v>352.44210526315788</v>
      </c>
      <c r="I150" s="145">
        <f>H149-I149</f>
        <v>107702</v>
      </c>
      <c r="J150" s="147" t="s">
        <v>140</v>
      </c>
      <c r="K150" s="144">
        <f>I150/G150</f>
        <v>113.37052631578948</v>
      </c>
    </row>
    <row r="151" spans="1:11" ht="18.75" x14ac:dyDescent="0.3">
      <c r="A151" s="38"/>
      <c r="B151" s="32"/>
      <c r="C151" s="1"/>
      <c r="D151" s="11" t="s">
        <v>20</v>
      </c>
      <c r="E151" s="17"/>
      <c r="F151" s="17"/>
      <c r="G151" s="41"/>
      <c r="H151" s="42">
        <v>0.75</v>
      </c>
      <c r="I151" s="143"/>
      <c r="J151" s="143"/>
      <c r="K151" s="144">
        <f>SUM(K149:K150)</f>
        <v>352.44210526315788</v>
      </c>
    </row>
    <row r="152" spans="1:11" ht="18.75" x14ac:dyDescent="0.3">
      <c r="A152" s="38"/>
      <c r="B152" s="32"/>
      <c r="C152" s="21" t="s">
        <v>21</v>
      </c>
      <c r="D152" s="21" t="s">
        <v>101</v>
      </c>
      <c r="E152" s="22"/>
      <c r="F152" s="22"/>
      <c r="G152" s="21"/>
      <c r="H152" s="141">
        <f>K149*0.13</f>
        <v>31.079305263157895</v>
      </c>
      <c r="I152" s="44"/>
      <c r="J152" s="1"/>
    </row>
    <row r="153" spans="1:11" ht="18.75" x14ac:dyDescent="0.3">
      <c r="A153" s="38"/>
      <c r="B153" s="32"/>
      <c r="C153" s="45"/>
      <c r="D153" s="21" t="s">
        <v>102</v>
      </c>
      <c r="E153" s="22"/>
      <c r="F153" s="22"/>
      <c r="G153" s="21"/>
      <c r="H153" s="141">
        <f>K150*0.28</f>
        <v>31.743747368421058</v>
      </c>
      <c r="I153" s="1"/>
      <c r="J153" s="44">
        <f>K149*0.13+K150*0.28</f>
        <v>62.823052631578953</v>
      </c>
    </row>
    <row r="154" spans="1:11" ht="18.75" x14ac:dyDescent="0.3">
      <c r="A154" s="38"/>
      <c r="B154" s="32"/>
      <c r="C154" s="45"/>
      <c r="D154" s="21" t="s">
        <v>23</v>
      </c>
      <c r="E154" s="22"/>
      <c r="F154" s="22"/>
      <c r="G154" s="21"/>
      <c r="H154" s="141">
        <f>SUM(H152:H153)</f>
        <v>62.823052631578953</v>
      </c>
      <c r="I154" s="1"/>
      <c r="J154" s="1"/>
    </row>
    <row r="155" spans="1:11" ht="18.75" x14ac:dyDescent="0.3">
      <c r="A155" s="38"/>
      <c r="B155" s="32"/>
      <c r="C155" s="1"/>
      <c r="D155" s="21" t="s">
        <v>24</v>
      </c>
      <c r="E155" s="22"/>
      <c r="F155" s="22"/>
      <c r="G155" s="21"/>
      <c r="H155" s="142">
        <f>(H154+H157)/H150</f>
        <v>0.17825070186966133</v>
      </c>
      <c r="I155" s="1"/>
      <c r="J155" s="1"/>
    </row>
    <row r="156" spans="1:11" ht="18.75" x14ac:dyDescent="0.3">
      <c r="A156" s="38"/>
      <c r="B156" s="32"/>
      <c r="C156" s="45"/>
      <c r="D156" s="21" t="s">
        <v>17</v>
      </c>
      <c r="E156" s="22"/>
      <c r="F156" s="22"/>
      <c r="G156" s="21"/>
      <c r="H156" s="47"/>
      <c r="I156" s="1"/>
      <c r="J156" s="1"/>
    </row>
    <row r="157" spans="1:11" ht="18.75" x14ac:dyDescent="0.3">
      <c r="A157" s="38"/>
      <c r="B157" s="32"/>
      <c r="C157" s="36"/>
      <c r="D157" s="21" t="s">
        <v>98</v>
      </c>
      <c r="E157" s="22"/>
      <c r="F157" s="22"/>
      <c r="G157" s="21"/>
      <c r="H157" s="23">
        <v>0</v>
      </c>
      <c r="I157" s="110">
        <f>J153-H154</f>
        <v>0</v>
      </c>
      <c r="J157" s="1"/>
    </row>
    <row r="158" spans="1:11" ht="18.75" x14ac:dyDescent="0.3">
      <c r="A158" s="38"/>
      <c r="B158" s="32"/>
      <c r="C158" s="36"/>
      <c r="D158" s="21" t="s">
        <v>27</v>
      </c>
      <c r="E158" s="22"/>
      <c r="F158" s="22"/>
      <c r="G158" s="21"/>
      <c r="H158" s="48">
        <v>300000</v>
      </c>
      <c r="I158" s="1"/>
      <c r="J158" s="1"/>
    </row>
    <row r="159" spans="1:11" ht="19.5" thickBot="1" x14ac:dyDescent="0.35">
      <c r="A159" s="38"/>
      <c r="B159" s="32"/>
      <c r="C159" s="49"/>
      <c r="D159" s="45"/>
      <c r="E159" s="45"/>
      <c r="F159" s="49"/>
      <c r="G159" s="45"/>
      <c r="H159" s="50"/>
      <c r="I159" s="1"/>
      <c r="J159" s="1"/>
    </row>
    <row r="160" spans="1:11" ht="19.5" thickBot="1" x14ac:dyDescent="0.35">
      <c r="A160" s="38"/>
      <c r="B160" s="32"/>
      <c r="C160" s="51" t="s">
        <v>28</v>
      </c>
      <c r="D160" s="51" t="s">
        <v>29</v>
      </c>
      <c r="E160" s="52"/>
      <c r="F160" s="53">
        <v>6.0999999999999999E-2</v>
      </c>
      <c r="G160" s="54" t="s">
        <v>30</v>
      </c>
      <c r="H160" s="55">
        <f>+F211</f>
        <v>6.1864598948435351E-2</v>
      </c>
      <c r="I160" s="1"/>
      <c r="J160" s="1"/>
    </row>
    <row r="161" spans="1:8" ht="18.75" x14ac:dyDescent="0.3">
      <c r="A161" s="38"/>
      <c r="B161" s="32"/>
      <c r="C161" s="36"/>
      <c r="D161" s="51" t="s">
        <v>31</v>
      </c>
      <c r="E161" s="52"/>
      <c r="F161" s="56">
        <f>F93</f>
        <v>3.65</v>
      </c>
      <c r="G161" s="51" t="s">
        <v>32</v>
      </c>
      <c r="H161" s="57"/>
    </row>
    <row r="162" spans="1:8" ht="19.5" thickBot="1" x14ac:dyDescent="0.35">
      <c r="A162" s="38"/>
      <c r="B162" s="32"/>
      <c r="C162" s="32"/>
      <c r="D162" s="36"/>
      <c r="E162" s="45"/>
      <c r="F162" s="49"/>
      <c r="G162" s="45"/>
      <c r="H162" s="58"/>
    </row>
    <row r="163" spans="1:8" ht="18.75" x14ac:dyDescent="0.3">
      <c r="A163" s="59" t="s">
        <v>33</v>
      </c>
      <c r="B163" s="60"/>
      <c r="C163" s="60"/>
      <c r="D163" s="60"/>
      <c r="E163" s="60"/>
      <c r="F163" s="60"/>
      <c r="G163" s="60"/>
      <c r="H163" s="61"/>
    </row>
    <row r="164" spans="1:8" ht="30" x14ac:dyDescent="0.25">
      <c r="A164" s="62" t="s">
        <v>34</v>
      </c>
      <c r="B164" s="63"/>
      <c r="C164" s="63"/>
      <c r="D164" s="64" t="s">
        <v>35</v>
      </c>
      <c r="E164" s="64" t="s">
        <v>36</v>
      </c>
      <c r="F164" s="64" t="s">
        <v>37</v>
      </c>
      <c r="G164" s="64" t="s">
        <v>38</v>
      </c>
      <c r="H164" s="65" t="s">
        <v>39</v>
      </c>
    </row>
    <row r="165" spans="1:8" x14ac:dyDescent="0.25">
      <c r="A165" s="38"/>
      <c r="B165" s="49" t="s">
        <v>40</v>
      </c>
      <c r="C165" s="49" t="s">
        <v>41</v>
      </c>
      <c r="D165" s="66">
        <f>ROUND(H150-D166-D167,0)</f>
        <v>290</v>
      </c>
      <c r="E165" s="67">
        <v>810</v>
      </c>
      <c r="F165" s="68">
        <f>+G165*E165</f>
        <v>2956.5</v>
      </c>
      <c r="G165" s="69">
        <f>F161</f>
        <v>3.65</v>
      </c>
      <c r="H165" s="70">
        <f>+D165*F165*12</f>
        <v>10288620</v>
      </c>
    </row>
    <row r="166" spans="1:8" x14ac:dyDescent="0.25">
      <c r="A166" s="38"/>
      <c r="B166" s="71" t="s">
        <v>42</v>
      </c>
      <c r="C166" s="49" t="s">
        <v>43</v>
      </c>
      <c r="D166" s="66">
        <f>H152</f>
        <v>31.079305263157895</v>
      </c>
      <c r="E166" s="67">
        <v>810</v>
      </c>
      <c r="F166" s="68">
        <v>1098.26</v>
      </c>
      <c r="G166" s="72">
        <f>IF(H166=0,0,+H166/(E166*D166)/12)</f>
        <v>1.3558765432098765</v>
      </c>
      <c r="H166" s="70">
        <f>+F166*D166*12</f>
        <v>409597.8935797895</v>
      </c>
    </row>
    <row r="167" spans="1:8" x14ac:dyDescent="0.25">
      <c r="A167" s="38"/>
      <c r="B167" s="71" t="s">
        <v>44</v>
      </c>
      <c r="C167" s="49" t="s">
        <v>45</v>
      </c>
      <c r="D167" s="66">
        <f>H153</f>
        <v>31.743747368421058</v>
      </c>
      <c r="E167" s="67">
        <v>810</v>
      </c>
      <c r="F167" s="68">
        <v>784.93925925925919</v>
      </c>
      <c r="G167" s="73">
        <f>IF(H167=0,0,+H167/(E167*D167)/12)</f>
        <v>0.96906081390031984</v>
      </c>
      <c r="H167" s="70">
        <f>+F167*D167*12</f>
        <v>299002.96254577779</v>
      </c>
    </row>
    <row r="168" spans="1:8" x14ac:dyDescent="0.25">
      <c r="A168" s="38"/>
      <c r="B168" s="49" t="s">
        <v>46</v>
      </c>
      <c r="C168" s="49" t="s">
        <v>47</v>
      </c>
      <c r="D168" s="67">
        <v>0</v>
      </c>
      <c r="E168" s="67">
        <v>0</v>
      </c>
      <c r="F168" s="73">
        <v>0</v>
      </c>
      <c r="G168" s="73">
        <v>0</v>
      </c>
      <c r="H168" s="70">
        <f>+G168*E168*D168</f>
        <v>0</v>
      </c>
    </row>
    <row r="169" spans="1:8" x14ac:dyDescent="0.25">
      <c r="A169" s="38"/>
      <c r="B169" s="49"/>
      <c r="C169" s="49" t="s">
        <v>48</v>
      </c>
      <c r="D169" s="67">
        <v>0</v>
      </c>
      <c r="E169" s="67">
        <v>5000</v>
      </c>
      <c r="F169" s="73">
        <f>+G169/12</f>
        <v>0</v>
      </c>
      <c r="G169" s="73">
        <v>0</v>
      </c>
      <c r="H169" s="70">
        <f>+G169*E169*D169</f>
        <v>0</v>
      </c>
    </row>
    <row r="170" spans="1:8" x14ac:dyDescent="0.25">
      <c r="A170" s="38"/>
      <c r="B170" s="74" t="s">
        <v>49</v>
      </c>
      <c r="C170" s="74"/>
      <c r="D170" s="75">
        <f>+H150*H151</f>
        <v>264.33157894736843</v>
      </c>
      <c r="E170" s="76"/>
      <c r="F170" s="76"/>
      <c r="G170" s="76">
        <v>250</v>
      </c>
      <c r="H170" s="77">
        <f>+D170*G170*12</f>
        <v>792994.73684210528</v>
      </c>
    </row>
    <row r="171" spans="1:8" x14ac:dyDescent="0.25">
      <c r="A171" s="38"/>
      <c r="B171" s="49" t="s">
        <v>50</v>
      </c>
      <c r="C171" s="49"/>
      <c r="D171" s="66">
        <f>+H150</f>
        <v>352.44210526315788</v>
      </c>
      <c r="E171" s="67">
        <f>(E165*D165)+(E166*D166)</f>
        <v>260074.23726315791</v>
      </c>
      <c r="F171" s="73"/>
      <c r="G171" s="68"/>
      <c r="H171" s="70">
        <f>SUM(H165:H170)</f>
        <v>11790215.592967674</v>
      </c>
    </row>
    <row r="172" spans="1:8" x14ac:dyDescent="0.25">
      <c r="A172" s="38"/>
      <c r="B172" s="49" t="s">
        <v>51</v>
      </c>
      <c r="C172" s="49"/>
      <c r="D172" s="78">
        <v>0.85</v>
      </c>
      <c r="E172" s="67">
        <f>+H149</f>
        <v>334820</v>
      </c>
      <c r="F172" s="68"/>
      <c r="G172" s="68"/>
      <c r="H172" s="70"/>
    </row>
    <row r="173" spans="1:8" x14ac:dyDescent="0.25">
      <c r="A173" s="38"/>
      <c r="B173" s="49" t="s">
        <v>52</v>
      </c>
      <c r="C173" s="49"/>
      <c r="D173" s="78">
        <v>1</v>
      </c>
      <c r="E173" s="67">
        <f>(E168*D168)+(D169*E169)</f>
        <v>0</v>
      </c>
      <c r="F173" s="68"/>
      <c r="G173" s="68"/>
      <c r="H173" s="70"/>
    </row>
    <row r="174" spans="1:8" x14ac:dyDescent="0.25">
      <c r="A174" s="38"/>
      <c r="B174" s="49"/>
      <c r="C174" s="49"/>
      <c r="D174" s="67"/>
      <c r="E174" s="68"/>
      <c r="F174" s="68"/>
      <c r="G174" s="68"/>
      <c r="H174" s="70"/>
    </row>
    <row r="175" spans="1:8" ht="18.75" x14ac:dyDescent="0.3">
      <c r="A175" s="79" t="s">
        <v>53</v>
      </c>
      <c r="B175" s="49"/>
      <c r="C175" s="49" t="str">
        <f>+C165</f>
        <v>Market Rate</v>
      </c>
      <c r="D175" s="67"/>
      <c r="E175" s="68"/>
      <c r="F175" s="68"/>
      <c r="G175" s="80">
        <v>0.05</v>
      </c>
      <c r="H175" s="70">
        <f>-G175*H165</f>
        <v>-514431</v>
      </c>
    </row>
    <row r="176" spans="1:8" ht="12.75" customHeight="1" x14ac:dyDescent="0.3">
      <c r="A176" s="79"/>
      <c r="B176" s="49"/>
      <c r="C176" s="49" t="str">
        <f>+C166</f>
        <v>Low Income</v>
      </c>
      <c r="D176" s="67"/>
      <c r="E176" s="68"/>
      <c r="F176" s="68"/>
      <c r="G176" s="80">
        <v>0</v>
      </c>
      <c r="H176" s="70">
        <f>-G176*H166</f>
        <v>0</v>
      </c>
    </row>
    <row r="177" spans="1:11" ht="12.75" customHeight="1" x14ac:dyDescent="0.3">
      <c r="A177" s="79"/>
      <c r="B177" s="49"/>
      <c r="C177" s="49" t="str">
        <f>+C168</f>
        <v>Market Rate Retail</v>
      </c>
      <c r="D177" s="67"/>
      <c r="E177" s="68"/>
      <c r="F177" s="68"/>
      <c r="G177" s="80">
        <v>0.1</v>
      </c>
      <c r="H177" s="70">
        <f>-G177*H168</f>
        <v>0</v>
      </c>
      <c r="I177" s="1"/>
      <c r="J177" s="1"/>
      <c r="K177" s="1"/>
    </row>
    <row r="178" spans="1:11" x14ac:dyDescent="0.25">
      <c r="A178" s="38"/>
      <c r="B178" s="74"/>
      <c r="C178" s="74" t="str">
        <f>+C169</f>
        <v>Affordable Innovation</v>
      </c>
      <c r="D178" s="75"/>
      <c r="E178" s="76"/>
      <c r="F178" s="76"/>
      <c r="G178" s="81">
        <v>0.2</v>
      </c>
      <c r="H178" s="77">
        <f>-G178*H169</f>
        <v>0</v>
      </c>
      <c r="I178" s="1"/>
      <c r="J178" s="1"/>
      <c r="K178" s="1"/>
    </row>
    <row r="179" spans="1:11" x14ac:dyDescent="0.25">
      <c r="A179" s="38"/>
      <c r="B179" s="49" t="s">
        <v>54</v>
      </c>
      <c r="C179" s="49"/>
      <c r="D179" s="67"/>
      <c r="E179" s="68"/>
      <c r="F179" s="68"/>
      <c r="G179" s="80"/>
      <c r="H179" s="70">
        <f>SUM(H175:H178)</f>
        <v>-514431</v>
      </c>
      <c r="I179" s="1"/>
      <c r="J179" s="1"/>
      <c r="K179" s="1"/>
    </row>
    <row r="180" spans="1:11" s="83" customFormat="1" ht="18.75" x14ac:dyDescent="0.3">
      <c r="A180" s="82"/>
      <c r="C180" s="45"/>
      <c r="D180" s="49"/>
      <c r="E180" s="49"/>
      <c r="F180" s="84"/>
      <c r="G180" s="85"/>
      <c r="H180" s="70"/>
    </row>
    <row r="181" spans="1:11" ht="18.75" x14ac:dyDescent="0.3">
      <c r="A181" s="79" t="s">
        <v>55</v>
      </c>
      <c r="B181" s="49"/>
      <c r="C181" s="49"/>
      <c r="D181" s="67"/>
      <c r="E181" s="68"/>
      <c r="F181" s="68"/>
      <c r="G181" s="68"/>
      <c r="H181" s="70">
        <f>+H171+H179</f>
        <v>11275784.592967674</v>
      </c>
      <c r="I181" s="1"/>
      <c r="J181" s="1"/>
      <c r="K181" s="1"/>
    </row>
    <row r="182" spans="1:11" x14ac:dyDescent="0.25">
      <c r="A182" s="38"/>
      <c r="B182" s="49"/>
      <c r="C182" s="49"/>
      <c r="D182" s="67"/>
      <c r="E182" s="68"/>
      <c r="F182" s="68"/>
      <c r="G182" s="68"/>
      <c r="H182" s="70"/>
      <c r="I182" s="1"/>
      <c r="J182" s="1"/>
      <c r="K182" s="1"/>
    </row>
    <row r="183" spans="1:11" ht="18.75" x14ac:dyDescent="0.3">
      <c r="A183" s="79" t="s">
        <v>56</v>
      </c>
      <c r="B183" s="49"/>
      <c r="C183" s="49"/>
      <c r="D183" s="49"/>
      <c r="E183" s="49"/>
      <c r="F183" s="49"/>
      <c r="G183" s="49"/>
      <c r="H183" s="70"/>
      <c r="I183" s="1"/>
      <c r="J183" s="1"/>
      <c r="K183" s="1"/>
    </row>
    <row r="184" spans="1:11" x14ac:dyDescent="0.25">
      <c r="A184" s="38"/>
      <c r="B184" s="49" t="s">
        <v>57</v>
      </c>
      <c r="C184" s="49" t="s">
        <v>58</v>
      </c>
      <c r="D184" s="49"/>
      <c r="E184" s="49"/>
      <c r="F184" s="68">
        <v>7500</v>
      </c>
      <c r="G184" s="68" t="s">
        <v>59</v>
      </c>
      <c r="H184" s="70">
        <f>-F184*D171</f>
        <v>-2643315.789473684</v>
      </c>
      <c r="I184" s="1"/>
      <c r="J184" s="1"/>
      <c r="K184" s="1"/>
    </row>
    <row r="185" spans="1:11" x14ac:dyDescent="0.25">
      <c r="A185" s="38"/>
      <c r="B185" s="49"/>
      <c r="C185" s="49" t="s">
        <v>60</v>
      </c>
      <c r="D185" s="78">
        <v>7.0000000000000007E-2</v>
      </c>
      <c r="E185" s="49" t="s">
        <v>61</v>
      </c>
      <c r="F185" s="68">
        <f>ROUND(-H185/D171,-2)</f>
        <v>2300</v>
      </c>
      <c r="G185" s="68" t="s">
        <v>59</v>
      </c>
      <c r="H185" s="70">
        <f>(H165+H166+H170)*-D185</f>
        <v>-804384.88412953273</v>
      </c>
      <c r="I185" s="1"/>
      <c r="J185" s="1"/>
      <c r="K185" s="1"/>
    </row>
    <row r="186" spans="1:11" x14ac:dyDescent="0.25">
      <c r="A186" s="38"/>
      <c r="B186" s="49"/>
      <c r="C186" s="49" t="s">
        <v>62</v>
      </c>
      <c r="D186" s="80">
        <v>2.5000000000000001E-2</v>
      </c>
      <c r="E186" s="49" t="s">
        <v>63</v>
      </c>
      <c r="F186" s="68">
        <f>-H186/D171</f>
        <v>774.35781904872476</v>
      </c>
      <c r="G186" s="68" t="s">
        <v>59</v>
      </c>
      <c r="H186" s="70">
        <f>-D186*((H165+H166+H170)*(1-G175))</f>
        <v>-272916.29997252004</v>
      </c>
      <c r="I186" s="1"/>
      <c r="J186" s="1"/>
      <c r="K186" s="1"/>
    </row>
    <row r="187" spans="1:11" x14ac:dyDescent="0.25">
      <c r="A187" s="38"/>
      <c r="B187" s="49"/>
      <c r="C187" s="49" t="s">
        <v>64</v>
      </c>
      <c r="D187" s="49"/>
      <c r="E187" s="49"/>
      <c r="F187" s="68">
        <v>250</v>
      </c>
      <c r="G187" s="68" t="s">
        <v>59</v>
      </c>
      <c r="H187" s="70">
        <f>-F187*D171</f>
        <v>-88110.526315789466</v>
      </c>
      <c r="I187" s="1"/>
      <c r="J187" s="1"/>
      <c r="K187" s="1"/>
    </row>
    <row r="188" spans="1:11" x14ac:dyDescent="0.25">
      <c r="A188" s="38"/>
      <c r="B188" s="74" t="s">
        <v>46</v>
      </c>
      <c r="C188" s="86" t="s">
        <v>65</v>
      </c>
      <c r="D188" s="74"/>
      <c r="E188" s="74"/>
      <c r="F188" s="87">
        <v>0.02</v>
      </c>
      <c r="G188" s="74" t="s">
        <v>66</v>
      </c>
      <c r="H188" s="77">
        <f>-F188*(H168+H169)</f>
        <v>0</v>
      </c>
      <c r="I188" s="1"/>
      <c r="J188" s="1"/>
      <c r="K188" s="1"/>
    </row>
    <row r="189" spans="1:11" x14ac:dyDescent="0.25">
      <c r="A189" s="38"/>
      <c r="B189" s="49" t="s">
        <v>67</v>
      </c>
      <c r="C189" s="49"/>
      <c r="D189" s="78">
        <f>-H189/H181</f>
        <v>0.33777937743391279</v>
      </c>
      <c r="E189" s="68" t="s">
        <v>68</v>
      </c>
      <c r="F189" s="68">
        <f>-H189/D171</f>
        <v>10806.675601508125</v>
      </c>
      <c r="G189" s="68" t="s">
        <v>59</v>
      </c>
      <c r="H189" s="70">
        <f>SUM(H184:H188)</f>
        <v>-3808727.4998915265</v>
      </c>
      <c r="I189" s="1"/>
      <c r="J189" s="1"/>
      <c r="K189" s="1"/>
    </row>
    <row r="190" spans="1:11" ht="15.75" thickBot="1" x14ac:dyDescent="0.3">
      <c r="A190" s="38"/>
      <c r="B190" s="49"/>
      <c r="C190" s="49"/>
      <c r="D190" s="49"/>
      <c r="E190" s="32"/>
      <c r="F190" s="49"/>
      <c r="G190" s="49"/>
      <c r="H190" s="70"/>
      <c r="I190" s="1"/>
      <c r="J190" s="1"/>
      <c r="K190" s="1"/>
    </row>
    <row r="191" spans="1:11" ht="18.75" x14ac:dyDescent="0.3">
      <c r="A191" s="79" t="s">
        <v>69</v>
      </c>
      <c r="B191" s="49"/>
      <c r="C191" s="49"/>
      <c r="D191" s="78">
        <f>+H191/H181</f>
        <v>0.66222062256608716</v>
      </c>
      <c r="E191" s="68" t="s">
        <v>68</v>
      </c>
      <c r="F191" s="68">
        <f>+H191/D171</f>
        <v>21186.620388335046</v>
      </c>
      <c r="G191" s="68" t="s">
        <v>59</v>
      </c>
      <c r="H191" s="70">
        <f>+H181+H189</f>
        <v>7467057.0930761471</v>
      </c>
      <c r="I191" s="1"/>
      <c r="J191" s="88">
        <f>+H191/1.25</f>
        <v>5973645.6744609177</v>
      </c>
      <c r="K191" s="89" t="s">
        <v>70</v>
      </c>
    </row>
    <row r="192" spans="1:11" x14ac:dyDescent="0.25">
      <c r="A192" s="38"/>
      <c r="B192" s="49"/>
      <c r="C192" s="49"/>
      <c r="D192" s="49"/>
      <c r="E192" s="49"/>
      <c r="F192" s="49"/>
      <c r="G192" s="49"/>
      <c r="H192" s="70"/>
      <c r="I192" s="1"/>
      <c r="J192" s="90">
        <f>-J191/(PMT(0.04/12,30*12,1)*12)</f>
        <v>104270602.75053382</v>
      </c>
      <c r="K192" s="91" t="s">
        <v>71</v>
      </c>
    </row>
    <row r="193" spans="1:11" ht="18.75" x14ac:dyDescent="0.3">
      <c r="A193" s="79" t="s">
        <v>72</v>
      </c>
      <c r="B193" s="49"/>
      <c r="C193" s="49"/>
      <c r="D193" s="49"/>
      <c r="E193" s="49"/>
      <c r="F193" s="49"/>
      <c r="G193" s="49"/>
      <c r="H193" s="70"/>
      <c r="I193" s="1"/>
      <c r="J193" s="92">
        <f>+H207-J192</f>
        <v>16429397.249466181</v>
      </c>
      <c r="K193" s="91" t="s">
        <v>73</v>
      </c>
    </row>
    <row r="194" spans="1:11" x14ac:dyDescent="0.25">
      <c r="A194" s="38"/>
      <c r="B194" s="49" t="s">
        <v>74</v>
      </c>
      <c r="C194" s="49"/>
      <c r="D194" s="49"/>
      <c r="E194" s="93" t="s">
        <v>75</v>
      </c>
      <c r="F194" s="94">
        <v>0.05</v>
      </c>
      <c r="G194" s="49" t="s">
        <v>76</v>
      </c>
      <c r="H194" s="70">
        <f>+H191/F194</f>
        <v>149341141.86152294</v>
      </c>
      <c r="I194" s="1"/>
      <c r="J194" s="92">
        <f>+H191-J191</f>
        <v>1493411.4186152294</v>
      </c>
      <c r="K194" s="91" t="s">
        <v>77</v>
      </c>
    </row>
    <row r="195" spans="1:11" ht="15.75" thickBot="1" x14ac:dyDescent="0.3">
      <c r="A195" s="38"/>
      <c r="B195" s="49"/>
      <c r="C195" s="49"/>
      <c r="D195" s="49"/>
      <c r="E195" s="49"/>
      <c r="F195" s="49"/>
      <c r="G195" s="93" t="s">
        <v>78</v>
      </c>
      <c r="H195" s="70">
        <f>ROUND(H194,-5)</f>
        <v>149300000</v>
      </c>
      <c r="I195" s="1"/>
      <c r="J195" s="95">
        <f>+J194/J193</f>
        <v>9.0898734502493875E-2</v>
      </c>
      <c r="K195" s="96" t="s">
        <v>79</v>
      </c>
    </row>
    <row r="196" spans="1:11" x14ac:dyDescent="0.25">
      <c r="A196" s="38"/>
      <c r="B196" s="49"/>
      <c r="C196" s="49"/>
      <c r="D196" s="49"/>
      <c r="E196" s="49"/>
      <c r="F196" s="49"/>
      <c r="G196" s="93" t="s">
        <v>80</v>
      </c>
      <c r="H196" s="70">
        <f>+H195/E172</f>
        <v>445.91123588793977</v>
      </c>
      <c r="I196" s="1"/>
      <c r="J196" s="1"/>
      <c r="K196" s="1"/>
    </row>
    <row r="197" spans="1:11" x14ac:dyDescent="0.25">
      <c r="A197" s="38"/>
      <c r="B197" s="49"/>
      <c r="C197" s="49"/>
      <c r="D197" s="49"/>
      <c r="E197" s="49"/>
      <c r="F197" s="49"/>
      <c r="G197" s="93" t="s">
        <v>59</v>
      </c>
      <c r="H197" s="70">
        <f>+H195/D171</f>
        <v>423615.6740935428</v>
      </c>
      <c r="I197" s="1"/>
      <c r="J197" s="1">
        <v>646091.59779614327</v>
      </c>
      <c r="K197" s="2">
        <f>+J197-H197</f>
        <v>222475.92370260047</v>
      </c>
    </row>
    <row r="198" spans="1:11" x14ac:dyDescent="0.25">
      <c r="A198" s="97"/>
      <c r="B198" s="74"/>
      <c r="C198" s="74"/>
      <c r="D198" s="74"/>
      <c r="E198" s="74"/>
      <c r="F198" s="74"/>
      <c r="G198" s="98"/>
      <c r="H198" s="77"/>
      <c r="I198" s="1"/>
      <c r="J198" s="1"/>
      <c r="K198" s="1"/>
    </row>
    <row r="199" spans="1:11" x14ac:dyDescent="0.25">
      <c r="A199" s="38"/>
      <c r="B199" s="49"/>
      <c r="C199" s="49"/>
      <c r="D199" s="49"/>
      <c r="E199" s="49"/>
      <c r="F199" s="94"/>
      <c r="G199" s="49"/>
      <c r="H199" s="70"/>
      <c r="I199" s="1"/>
      <c r="J199" s="1"/>
      <c r="K199" s="1"/>
    </row>
    <row r="200" spans="1:11" ht="19.5" thickBot="1" x14ac:dyDescent="0.35">
      <c r="A200" s="79" t="s">
        <v>81</v>
      </c>
      <c r="B200" s="49"/>
      <c r="C200" s="49"/>
      <c r="D200" s="49"/>
      <c r="E200" s="49"/>
      <c r="F200" s="49"/>
      <c r="G200" s="49"/>
      <c r="H200" s="70"/>
      <c r="I200" s="1"/>
      <c r="J200" s="1"/>
      <c r="K200" s="1"/>
    </row>
    <row r="201" spans="1:11" ht="19.5" thickBot="1" x14ac:dyDescent="0.35">
      <c r="A201" s="79"/>
      <c r="B201" s="49" t="s">
        <v>82</v>
      </c>
      <c r="C201" s="49"/>
      <c r="D201" s="68">
        <f>+H201/D171</f>
        <v>22554.427752225078</v>
      </c>
      <c r="E201" s="49" t="s">
        <v>59</v>
      </c>
      <c r="F201" s="73">
        <v>70</v>
      </c>
      <c r="G201" s="49" t="s">
        <v>83</v>
      </c>
      <c r="H201" s="99">
        <f>F201*H147</f>
        <v>7949130</v>
      </c>
      <c r="I201" s="1"/>
      <c r="J201" s="1"/>
      <c r="K201" s="1"/>
    </row>
    <row r="202" spans="1:11" ht="12.75" customHeight="1" x14ac:dyDescent="0.3">
      <c r="A202" s="79"/>
      <c r="B202" s="49" t="s">
        <v>84</v>
      </c>
      <c r="C202" s="49"/>
      <c r="D202" s="68">
        <v>300000</v>
      </c>
      <c r="E202" s="49" t="s">
        <v>59</v>
      </c>
      <c r="F202" s="67">
        <f>H157</f>
        <v>0</v>
      </c>
      <c r="G202" s="49" t="s">
        <v>35</v>
      </c>
      <c r="H202" s="70">
        <f>+F202*D202</f>
        <v>0</v>
      </c>
      <c r="I202" s="1"/>
      <c r="J202" s="1"/>
      <c r="K202" s="1"/>
    </row>
    <row r="203" spans="1:11" x14ac:dyDescent="0.25">
      <c r="A203" s="38"/>
      <c r="B203" s="49" t="s">
        <v>57</v>
      </c>
      <c r="C203" s="49"/>
      <c r="D203" s="49"/>
      <c r="E203" s="49"/>
      <c r="F203" s="73">
        <f>280*0.92</f>
        <v>257.60000000000002</v>
      </c>
      <c r="G203" s="49" t="s">
        <v>85</v>
      </c>
      <c r="H203" s="70">
        <f>+F203*E172</f>
        <v>86249632.000000015</v>
      </c>
      <c r="I203" s="1"/>
      <c r="J203" s="1"/>
      <c r="K203" s="1"/>
    </row>
    <row r="204" spans="1:11" x14ac:dyDescent="0.25">
      <c r="A204" s="38"/>
      <c r="B204" s="49" t="s">
        <v>46</v>
      </c>
      <c r="C204" s="49"/>
      <c r="D204" s="49"/>
      <c r="E204" s="49"/>
      <c r="F204" s="73">
        <v>280</v>
      </c>
      <c r="G204" s="49" t="s">
        <v>85</v>
      </c>
      <c r="H204" s="70">
        <f>F204*(E173)</f>
        <v>0</v>
      </c>
      <c r="I204" s="1"/>
      <c r="J204" s="1"/>
      <c r="K204" s="1"/>
    </row>
    <row r="205" spans="1:11" x14ac:dyDescent="0.25">
      <c r="A205" s="38"/>
      <c r="B205" s="49" t="s">
        <v>86</v>
      </c>
      <c r="C205" s="49" t="s">
        <v>87</v>
      </c>
      <c r="D205" s="67">
        <f>+D170</f>
        <v>264.33157894736843</v>
      </c>
      <c r="E205" s="32" t="s">
        <v>88</v>
      </c>
      <c r="F205" s="68">
        <v>35000</v>
      </c>
      <c r="G205" s="49" t="s">
        <v>89</v>
      </c>
      <c r="H205" s="70">
        <f>+F205*D170</f>
        <v>9251605.2631578948</v>
      </c>
      <c r="I205" s="1"/>
      <c r="J205" s="1"/>
      <c r="K205" s="1"/>
    </row>
    <row r="206" spans="1:11" x14ac:dyDescent="0.25">
      <c r="A206" s="38"/>
      <c r="B206" s="74" t="s">
        <v>90</v>
      </c>
      <c r="C206" s="74"/>
      <c r="D206" s="74"/>
      <c r="E206" s="74"/>
      <c r="F206" s="87">
        <v>0.2</v>
      </c>
      <c r="G206" s="74" t="s">
        <v>91</v>
      </c>
      <c r="H206" s="77">
        <f>ROUND((H203+H204)*F206,-5)</f>
        <v>17200000</v>
      </c>
      <c r="I206" s="1"/>
      <c r="J206" s="1"/>
      <c r="K206" s="1"/>
    </row>
    <row r="207" spans="1:11" x14ac:dyDescent="0.25">
      <c r="A207" s="38"/>
      <c r="B207" s="49"/>
      <c r="C207" s="49"/>
      <c r="D207" s="49"/>
      <c r="E207" s="49"/>
      <c r="F207" s="49"/>
      <c r="G207" s="93" t="s">
        <v>78</v>
      </c>
      <c r="H207" s="70">
        <f>ROUND(SUM(H201:H206),-5)</f>
        <v>120700000</v>
      </c>
      <c r="I207" s="1"/>
      <c r="J207" s="1"/>
      <c r="K207" s="1"/>
    </row>
    <row r="208" spans="1:11" x14ac:dyDescent="0.25">
      <c r="A208" s="38"/>
      <c r="B208" s="49"/>
      <c r="C208" s="49"/>
      <c r="D208" s="49"/>
      <c r="E208" s="49"/>
      <c r="F208" s="49"/>
      <c r="G208" s="93" t="s">
        <v>80</v>
      </c>
      <c r="H208" s="70">
        <f>+H207/(E172+E173)</f>
        <v>360.49220476674031</v>
      </c>
      <c r="I208" s="1"/>
      <c r="J208" s="1"/>
      <c r="K208" s="1"/>
    </row>
    <row r="209" spans="1:11" x14ac:dyDescent="0.25">
      <c r="A209" s="38"/>
      <c r="B209" s="49"/>
      <c r="C209" s="49"/>
      <c r="D209" s="49"/>
      <c r="E209" s="49"/>
      <c r="F209" s="49"/>
      <c r="G209" s="93" t="s">
        <v>59</v>
      </c>
      <c r="H209" s="70">
        <f>+H207/H150</f>
        <v>342467.59452840331</v>
      </c>
      <c r="I209" s="1"/>
      <c r="J209" s="1">
        <v>486340.6795224977</v>
      </c>
    </row>
    <row r="210" spans="1:11" x14ac:dyDescent="0.25">
      <c r="A210" s="38"/>
      <c r="B210" s="49"/>
      <c r="C210" s="49"/>
      <c r="D210" s="49"/>
      <c r="E210" s="49"/>
      <c r="F210" s="49"/>
      <c r="G210" s="49"/>
      <c r="H210" s="70"/>
      <c r="I210" s="1"/>
      <c r="J210" s="1"/>
    </row>
    <row r="211" spans="1:11" ht="18.75" x14ac:dyDescent="0.3">
      <c r="A211" s="100" t="s">
        <v>92</v>
      </c>
      <c r="B211" s="49"/>
      <c r="C211" s="49"/>
      <c r="D211" s="49"/>
      <c r="E211" s="93" t="s">
        <v>93</v>
      </c>
      <c r="F211" s="80">
        <f>+H191/H207</f>
        <v>6.1864598948435351E-2</v>
      </c>
      <c r="G211" s="93" t="s">
        <v>94</v>
      </c>
      <c r="H211" s="70">
        <f>+H195-H207</f>
        <v>28600000</v>
      </c>
      <c r="I211" s="1"/>
      <c r="J211" s="1"/>
    </row>
    <row r="212" spans="1:11" ht="15.75" thickBot="1" x14ac:dyDescent="0.3">
      <c r="A212" s="101"/>
      <c r="B212" s="102"/>
      <c r="C212" s="102"/>
      <c r="D212" s="103"/>
      <c r="E212" s="103"/>
      <c r="F212" s="103"/>
      <c r="G212" s="102"/>
      <c r="H212" s="104"/>
      <c r="I212" s="1"/>
      <c r="J212" s="1"/>
    </row>
    <row r="213" spans="1:11" ht="15.75" thickBo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</row>
    <row r="214" spans="1:11" ht="18.75" x14ac:dyDescent="0.3">
      <c r="A214" s="3" t="s">
        <v>7</v>
      </c>
      <c r="B214" s="4"/>
      <c r="C214" s="5" t="s">
        <v>8</v>
      </c>
      <c r="D214" s="6" t="s">
        <v>9</v>
      </c>
      <c r="E214" s="7"/>
      <c r="F214" s="7"/>
      <c r="G214" s="8" t="s">
        <v>10</v>
      </c>
      <c r="H214" s="25" t="s">
        <v>11</v>
      </c>
      <c r="I214" s="1"/>
      <c r="J214" s="1"/>
    </row>
    <row r="215" spans="1:11" ht="18.75" x14ac:dyDescent="0.3">
      <c r="A215" s="26" t="s">
        <v>12</v>
      </c>
      <c r="B215" s="27"/>
      <c r="C215" s="11"/>
      <c r="D215" s="28" t="s">
        <v>1</v>
      </c>
      <c r="E215" s="12" t="s">
        <v>13</v>
      </c>
      <c r="F215" s="29">
        <v>1</v>
      </c>
      <c r="G215" s="30" t="s">
        <v>14</v>
      </c>
      <c r="H215" s="31">
        <v>175282.15384615384</v>
      </c>
      <c r="I215" s="1"/>
      <c r="J215" s="1"/>
    </row>
    <row r="216" spans="1:11" ht="18.75" x14ac:dyDescent="0.3">
      <c r="A216" s="26" t="s">
        <v>103</v>
      </c>
      <c r="B216" s="27"/>
      <c r="C216" s="32"/>
      <c r="D216" s="11" t="s">
        <v>16</v>
      </c>
      <c r="E216" s="12"/>
      <c r="F216" s="33"/>
      <c r="G216" s="14" t="s">
        <v>4</v>
      </c>
      <c r="H216" s="15">
        <f>H217/H215</f>
        <v>3.8122534743982013</v>
      </c>
      <c r="I216" s="148" t="s">
        <v>138</v>
      </c>
      <c r="J216" s="146"/>
      <c r="K216" s="144" t="s">
        <v>139</v>
      </c>
    </row>
    <row r="217" spans="1:11" ht="19.5" thickBot="1" x14ac:dyDescent="0.35">
      <c r="A217" s="34" t="s">
        <v>17</v>
      </c>
      <c r="B217" s="35"/>
      <c r="C217" s="36"/>
      <c r="D217" s="11" t="s">
        <v>18</v>
      </c>
      <c r="E217" s="17"/>
      <c r="F217" s="17"/>
      <c r="G217" s="37" t="s">
        <v>19</v>
      </c>
      <c r="H217" s="31">
        <v>668220</v>
      </c>
      <c r="I217" s="145">
        <f>H215*2</f>
        <v>350564.30769230769</v>
      </c>
      <c r="J217" s="146" t="s">
        <v>137</v>
      </c>
      <c r="K217" s="144">
        <f>I217/G218</f>
        <v>369.01506072874491</v>
      </c>
    </row>
    <row r="218" spans="1:11" ht="18.75" x14ac:dyDescent="0.3">
      <c r="A218" s="38"/>
      <c r="B218" s="32"/>
      <c r="C218" s="36"/>
      <c r="D218" s="11" t="s">
        <v>5</v>
      </c>
      <c r="E218" s="17"/>
      <c r="F218" s="17"/>
      <c r="G218" s="18">
        <f>G150</f>
        <v>950</v>
      </c>
      <c r="H218" s="39">
        <f>H217/G218</f>
        <v>703.38947368421054</v>
      </c>
      <c r="I218" s="145">
        <f>H217-I217</f>
        <v>317655.69230769231</v>
      </c>
      <c r="J218" s="147" t="s">
        <v>140</v>
      </c>
      <c r="K218" s="144">
        <f>I218/G218</f>
        <v>334.37441295546557</v>
      </c>
    </row>
    <row r="219" spans="1:11" ht="18.75" x14ac:dyDescent="0.3">
      <c r="A219" s="38"/>
      <c r="B219" s="32"/>
      <c r="C219" s="1"/>
      <c r="D219" s="11" t="s">
        <v>20</v>
      </c>
      <c r="E219" s="17"/>
      <c r="F219" s="17"/>
      <c r="G219" s="41"/>
      <c r="H219" s="42">
        <v>0.75</v>
      </c>
      <c r="I219" s="143"/>
      <c r="J219" s="143"/>
      <c r="K219" s="144">
        <f>SUM(K217:K218)</f>
        <v>703.38947368421054</v>
      </c>
    </row>
    <row r="220" spans="1:11" ht="18.75" x14ac:dyDescent="0.3">
      <c r="A220" s="38"/>
      <c r="B220" s="32"/>
      <c r="C220" s="21" t="s">
        <v>21</v>
      </c>
      <c r="D220" s="21" t="s">
        <v>101</v>
      </c>
      <c r="E220" s="22"/>
      <c r="F220" s="22"/>
      <c r="G220" s="21"/>
      <c r="H220" s="141">
        <v>48</v>
      </c>
      <c r="I220" s="44"/>
      <c r="J220" s="1"/>
    </row>
    <row r="221" spans="1:11" ht="18.75" x14ac:dyDescent="0.3">
      <c r="A221" s="38"/>
      <c r="B221" s="32"/>
      <c r="C221" s="45"/>
      <c r="D221" s="21" t="s">
        <v>102</v>
      </c>
      <c r="E221" s="22"/>
      <c r="F221" s="22"/>
      <c r="G221" s="21"/>
      <c r="H221" s="141">
        <v>94</v>
      </c>
      <c r="I221" s="1"/>
      <c r="J221" s="44">
        <f>K217*0.13+K218*0.28</f>
        <v>141.59679352226721</v>
      </c>
    </row>
    <row r="222" spans="1:11" ht="18.75" x14ac:dyDescent="0.3">
      <c r="A222" s="38"/>
      <c r="B222" s="32"/>
      <c r="C222" s="45"/>
      <c r="D222" s="21" t="s">
        <v>23</v>
      </c>
      <c r="E222" s="22"/>
      <c r="F222" s="22"/>
      <c r="G222" s="21"/>
      <c r="H222" s="23">
        <f>SUM(H220:H221)</f>
        <v>142</v>
      </c>
      <c r="I222" s="1"/>
      <c r="J222" s="1"/>
    </row>
    <row r="223" spans="1:11" ht="18.75" x14ac:dyDescent="0.3">
      <c r="A223" s="38"/>
      <c r="B223" s="32"/>
      <c r="C223" s="1"/>
      <c r="D223" s="21" t="s">
        <v>24</v>
      </c>
      <c r="E223" s="22"/>
      <c r="F223" s="22"/>
      <c r="G223" s="21"/>
      <c r="H223" s="46">
        <f>(H222+H225)/H218</f>
        <v>0.20187962048427163</v>
      </c>
      <c r="I223" s="1"/>
      <c r="J223" s="1"/>
    </row>
    <row r="224" spans="1:11" ht="18.75" x14ac:dyDescent="0.3">
      <c r="A224" s="38"/>
      <c r="B224" s="32"/>
      <c r="C224" s="45"/>
      <c r="D224" s="21" t="s">
        <v>17</v>
      </c>
      <c r="E224" s="22"/>
      <c r="F224" s="22"/>
      <c r="G224" s="21"/>
      <c r="H224" s="47">
        <f>H222/H218</f>
        <v>0.20187962048427163</v>
      </c>
      <c r="I224" s="1"/>
      <c r="J224" s="1"/>
    </row>
    <row r="225" spans="1:9" ht="18.75" x14ac:dyDescent="0.3">
      <c r="A225" s="38"/>
      <c r="B225" s="32"/>
      <c r="C225" s="36"/>
      <c r="D225" s="21" t="s">
        <v>98</v>
      </c>
      <c r="E225" s="22"/>
      <c r="F225" s="22"/>
      <c r="G225" s="21"/>
      <c r="H225" s="23">
        <v>0</v>
      </c>
      <c r="I225" s="110">
        <f>J221-H222</f>
        <v>-0.40320647773279461</v>
      </c>
    </row>
    <row r="226" spans="1:9" ht="18.75" x14ac:dyDescent="0.3">
      <c r="A226" s="38"/>
      <c r="B226" s="32"/>
      <c r="C226" s="36"/>
      <c r="D226" s="21" t="s">
        <v>27</v>
      </c>
      <c r="E226" s="22"/>
      <c r="F226" s="22"/>
      <c r="G226" s="21"/>
      <c r="H226" s="48">
        <v>300000</v>
      </c>
      <c r="I226" s="1"/>
    </row>
    <row r="227" spans="1:9" ht="19.5" thickBot="1" x14ac:dyDescent="0.35">
      <c r="A227" s="38"/>
      <c r="B227" s="32"/>
      <c r="C227" s="49"/>
      <c r="D227" s="45"/>
      <c r="E227" s="45"/>
      <c r="F227" s="49"/>
      <c r="G227" s="45"/>
      <c r="H227" s="50"/>
      <c r="I227" s="1"/>
    </row>
    <row r="228" spans="1:9" ht="19.5" thickBot="1" x14ac:dyDescent="0.35">
      <c r="A228" s="38"/>
      <c r="B228" s="32"/>
      <c r="C228" s="51" t="s">
        <v>28</v>
      </c>
      <c r="D228" s="51" t="s">
        <v>29</v>
      </c>
      <c r="E228" s="52"/>
      <c r="F228" s="53">
        <v>6.0999999999999999E-2</v>
      </c>
      <c r="G228" s="54" t="s">
        <v>30</v>
      </c>
      <c r="H228" s="55">
        <f>+F279</f>
        <v>6.1035688662351553E-2</v>
      </c>
      <c r="I228" s="1"/>
    </row>
    <row r="229" spans="1:9" ht="18.75" x14ac:dyDescent="0.3">
      <c r="A229" s="38"/>
      <c r="B229" s="32"/>
      <c r="C229" s="36"/>
      <c r="D229" s="51" t="s">
        <v>31</v>
      </c>
      <c r="E229" s="52"/>
      <c r="F229" s="56">
        <f>F161</f>
        <v>3.65</v>
      </c>
      <c r="G229" s="51" t="s">
        <v>32</v>
      </c>
      <c r="H229" s="57"/>
      <c r="I229" s="1"/>
    </row>
    <row r="230" spans="1:9" ht="19.5" thickBot="1" x14ac:dyDescent="0.35">
      <c r="A230" s="38"/>
      <c r="B230" s="32"/>
      <c r="C230" s="32"/>
      <c r="D230" s="36"/>
      <c r="E230" s="45"/>
      <c r="F230" s="49"/>
      <c r="G230" s="45"/>
      <c r="H230" s="58"/>
      <c r="I230" s="1"/>
    </row>
    <row r="231" spans="1:9" ht="18.75" x14ac:dyDescent="0.3">
      <c r="A231" s="59" t="s">
        <v>33</v>
      </c>
      <c r="B231" s="60"/>
      <c r="C231" s="60"/>
      <c r="D231" s="60"/>
      <c r="E231" s="60"/>
      <c r="F231" s="60"/>
      <c r="G231" s="60"/>
      <c r="H231" s="61"/>
      <c r="I231" s="1"/>
    </row>
    <row r="232" spans="1:9" ht="30" x14ac:dyDescent="0.25">
      <c r="A232" s="62" t="s">
        <v>34</v>
      </c>
      <c r="B232" s="63"/>
      <c r="C232" s="63"/>
      <c r="D232" s="64" t="s">
        <v>35</v>
      </c>
      <c r="E232" s="64" t="s">
        <v>36</v>
      </c>
      <c r="F232" s="64" t="s">
        <v>37</v>
      </c>
      <c r="G232" s="64" t="s">
        <v>38</v>
      </c>
      <c r="H232" s="65" t="s">
        <v>39</v>
      </c>
      <c r="I232" s="1"/>
    </row>
    <row r="233" spans="1:9" x14ac:dyDescent="0.25">
      <c r="A233" s="38"/>
      <c r="B233" s="49" t="s">
        <v>40</v>
      </c>
      <c r="C233" s="49" t="s">
        <v>41</v>
      </c>
      <c r="D233" s="66">
        <f>ROUND(H218-D234-D235,0)</f>
        <v>561</v>
      </c>
      <c r="E233" s="67">
        <v>810</v>
      </c>
      <c r="F233" s="68">
        <f>+G233*E233</f>
        <v>2956.5</v>
      </c>
      <c r="G233" s="69">
        <f>F229</f>
        <v>3.65</v>
      </c>
      <c r="H233" s="70">
        <f>+D233*F233*12</f>
        <v>19903158</v>
      </c>
      <c r="I233" s="1"/>
    </row>
    <row r="234" spans="1:9" x14ac:dyDescent="0.25">
      <c r="A234" s="38"/>
      <c r="B234" s="71" t="s">
        <v>42</v>
      </c>
      <c r="C234" s="49" t="s">
        <v>43</v>
      </c>
      <c r="D234" s="66">
        <f>H220</f>
        <v>48</v>
      </c>
      <c r="E234" s="67">
        <v>810</v>
      </c>
      <c r="F234" s="68">
        <v>1098.26</v>
      </c>
      <c r="G234" s="72">
        <f>IF(H234=0,0,+H234/(E234*D234)/12)</f>
        <v>1.3558765432098765</v>
      </c>
      <c r="H234" s="70">
        <f>+F234*D234*12</f>
        <v>632597.76000000001</v>
      </c>
      <c r="I234" s="1"/>
    </row>
    <row r="235" spans="1:9" x14ac:dyDescent="0.25">
      <c r="A235" s="38"/>
      <c r="B235" s="71" t="s">
        <v>44</v>
      </c>
      <c r="C235" s="49" t="s">
        <v>45</v>
      </c>
      <c r="D235" s="66">
        <f>H221</f>
        <v>94</v>
      </c>
      <c r="E235" s="67">
        <v>810</v>
      </c>
      <c r="F235" s="68">
        <v>784.93925925925919</v>
      </c>
      <c r="G235" s="73">
        <f>IF(H235=0,0,+H235/(E235*D235)/12)</f>
        <v>0.96906081390031995</v>
      </c>
      <c r="H235" s="70">
        <f>+F235*D235*12</f>
        <v>885411.4844444443</v>
      </c>
      <c r="I235" s="1"/>
    </row>
    <row r="236" spans="1:9" x14ac:dyDescent="0.25">
      <c r="A236" s="38"/>
      <c r="B236" s="49" t="s">
        <v>46</v>
      </c>
      <c r="C236" s="49" t="s">
        <v>47</v>
      </c>
      <c r="D236" s="67">
        <v>0</v>
      </c>
      <c r="E236" s="67">
        <v>0</v>
      </c>
      <c r="F236" s="73">
        <v>0</v>
      </c>
      <c r="G236" s="73">
        <v>0</v>
      </c>
      <c r="H236" s="70">
        <f>+G236*E236*D236</f>
        <v>0</v>
      </c>
      <c r="I236" s="1"/>
    </row>
    <row r="237" spans="1:9" x14ac:dyDescent="0.25">
      <c r="A237" s="38"/>
      <c r="B237" s="49"/>
      <c r="C237" s="49" t="s">
        <v>48</v>
      </c>
      <c r="D237" s="67">
        <v>0</v>
      </c>
      <c r="E237" s="67">
        <v>5000</v>
      </c>
      <c r="F237" s="73">
        <f>+G237/12</f>
        <v>0</v>
      </c>
      <c r="G237" s="73">
        <v>0</v>
      </c>
      <c r="H237" s="70">
        <f>+G237*E237*D237</f>
        <v>0</v>
      </c>
      <c r="I237" s="1"/>
    </row>
    <row r="238" spans="1:9" x14ac:dyDescent="0.25">
      <c r="A238" s="38"/>
      <c r="B238" s="74" t="s">
        <v>49</v>
      </c>
      <c r="C238" s="74"/>
      <c r="D238" s="75">
        <f>+H218*H219</f>
        <v>527.54210526315796</v>
      </c>
      <c r="E238" s="76"/>
      <c r="F238" s="76"/>
      <c r="G238" s="76">
        <v>250</v>
      </c>
      <c r="H238" s="77">
        <f>+D238*G238*12</f>
        <v>1582626.3157894739</v>
      </c>
      <c r="I238" s="1"/>
    </row>
    <row r="239" spans="1:9" x14ac:dyDescent="0.25">
      <c r="A239" s="38"/>
      <c r="B239" s="49" t="s">
        <v>50</v>
      </c>
      <c r="C239" s="49"/>
      <c r="D239" s="66">
        <f>+H218</f>
        <v>703.38947368421054</v>
      </c>
      <c r="E239" s="67">
        <f>(E233*D233)+(E234*D234)</f>
        <v>493290</v>
      </c>
      <c r="F239" s="73"/>
      <c r="G239" s="68"/>
      <c r="H239" s="70">
        <f>SUM(H233:H238)</f>
        <v>23003793.560233917</v>
      </c>
      <c r="I239" s="1"/>
    </row>
    <row r="240" spans="1:9" x14ac:dyDescent="0.25">
      <c r="A240" s="38"/>
      <c r="B240" s="49" t="s">
        <v>51</v>
      </c>
      <c r="C240" s="49"/>
      <c r="D240" s="78">
        <v>0.85</v>
      </c>
      <c r="E240" s="67">
        <f>+H217</f>
        <v>668220</v>
      </c>
      <c r="F240" s="68"/>
      <c r="G240" s="68"/>
      <c r="H240" s="70"/>
      <c r="I240" s="1"/>
    </row>
    <row r="241" spans="1:8" x14ac:dyDescent="0.25">
      <c r="A241" s="38"/>
      <c r="B241" s="49" t="s">
        <v>52</v>
      </c>
      <c r="C241" s="49"/>
      <c r="D241" s="78">
        <v>1</v>
      </c>
      <c r="E241" s="67">
        <f>(E236*D236)+(D237*E237)</f>
        <v>0</v>
      </c>
      <c r="F241" s="68"/>
      <c r="G241" s="68"/>
      <c r="H241" s="70"/>
    </row>
    <row r="242" spans="1:8" x14ac:dyDescent="0.25">
      <c r="A242" s="38"/>
      <c r="B242" s="49"/>
      <c r="C242" s="49"/>
      <c r="D242" s="67"/>
      <c r="E242" s="68"/>
      <c r="F242" s="68"/>
      <c r="G242" s="68"/>
      <c r="H242" s="70"/>
    </row>
    <row r="243" spans="1:8" ht="18.75" x14ac:dyDescent="0.3">
      <c r="A243" s="79" t="s">
        <v>53</v>
      </c>
      <c r="B243" s="49"/>
      <c r="C243" s="49" t="str">
        <f>+C233</f>
        <v>Market Rate</v>
      </c>
      <c r="D243" s="67"/>
      <c r="E243" s="68"/>
      <c r="F243" s="68"/>
      <c r="G243" s="80">
        <v>0.05</v>
      </c>
      <c r="H243" s="70">
        <f>-G243*H233</f>
        <v>-995157.9</v>
      </c>
    </row>
    <row r="244" spans="1:8" ht="12.75" customHeight="1" x14ac:dyDescent="0.3">
      <c r="A244" s="79"/>
      <c r="B244" s="49"/>
      <c r="C244" s="49" t="str">
        <f>+C234</f>
        <v>Low Income</v>
      </c>
      <c r="D244" s="67"/>
      <c r="E244" s="68"/>
      <c r="F244" s="68"/>
      <c r="G244" s="80">
        <v>0</v>
      </c>
      <c r="H244" s="70">
        <f>-G244*H234</f>
        <v>0</v>
      </c>
    </row>
    <row r="245" spans="1:8" ht="12.75" customHeight="1" x14ac:dyDescent="0.3">
      <c r="A245" s="79"/>
      <c r="B245" s="49"/>
      <c r="C245" s="49" t="str">
        <f>+C236</f>
        <v>Market Rate Retail</v>
      </c>
      <c r="D245" s="67"/>
      <c r="E245" s="68"/>
      <c r="F245" s="68"/>
      <c r="G245" s="80">
        <v>0.1</v>
      </c>
      <c r="H245" s="70">
        <f>-G245*H236</f>
        <v>0</v>
      </c>
    </row>
    <row r="246" spans="1:8" x14ac:dyDescent="0.25">
      <c r="A246" s="38"/>
      <c r="B246" s="74"/>
      <c r="C246" s="74" t="str">
        <f>+C237</f>
        <v>Affordable Innovation</v>
      </c>
      <c r="D246" s="75"/>
      <c r="E246" s="76"/>
      <c r="F246" s="76"/>
      <c r="G246" s="81">
        <v>0.2</v>
      </c>
      <c r="H246" s="77">
        <f>-G246*H237</f>
        <v>0</v>
      </c>
    </row>
    <row r="247" spans="1:8" x14ac:dyDescent="0.25">
      <c r="A247" s="38"/>
      <c r="B247" s="49" t="s">
        <v>54</v>
      </c>
      <c r="C247" s="49"/>
      <c r="D247" s="67"/>
      <c r="E247" s="68"/>
      <c r="F247" s="68"/>
      <c r="G247" s="80"/>
      <c r="H247" s="70">
        <f>SUM(H243:H246)</f>
        <v>-995157.9</v>
      </c>
    </row>
    <row r="248" spans="1:8" s="83" customFormat="1" ht="18.75" x14ac:dyDescent="0.3">
      <c r="A248" s="82"/>
      <c r="C248" s="45"/>
      <c r="D248" s="49"/>
      <c r="E248" s="49"/>
      <c r="F248" s="84"/>
      <c r="G248" s="85"/>
      <c r="H248" s="70"/>
    </row>
    <row r="249" spans="1:8" ht="18.75" x14ac:dyDescent="0.3">
      <c r="A249" s="79" t="s">
        <v>55</v>
      </c>
      <c r="B249" s="49"/>
      <c r="C249" s="49"/>
      <c r="D249" s="67"/>
      <c r="E249" s="68"/>
      <c r="F249" s="68"/>
      <c r="G249" s="68"/>
      <c r="H249" s="70">
        <f>+H239+H247</f>
        <v>22008635.660233919</v>
      </c>
    </row>
    <row r="250" spans="1:8" x14ac:dyDescent="0.25">
      <c r="A250" s="38"/>
      <c r="B250" s="49"/>
      <c r="C250" s="49"/>
      <c r="D250" s="67"/>
      <c r="E250" s="68"/>
      <c r="F250" s="68"/>
      <c r="G250" s="68"/>
      <c r="H250" s="70"/>
    </row>
    <row r="251" spans="1:8" ht="18.75" x14ac:dyDescent="0.3">
      <c r="A251" s="79" t="s">
        <v>56</v>
      </c>
      <c r="B251" s="49"/>
      <c r="C251" s="49"/>
      <c r="D251" s="49"/>
      <c r="E251" s="49"/>
      <c r="F251" s="49"/>
      <c r="G251" s="49"/>
      <c r="H251" s="70"/>
    </row>
    <row r="252" spans="1:8" x14ac:dyDescent="0.25">
      <c r="A252" s="38"/>
      <c r="B252" s="49" t="s">
        <v>57</v>
      </c>
      <c r="C252" s="49" t="s">
        <v>58</v>
      </c>
      <c r="D252" s="49"/>
      <c r="E252" s="49"/>
      <c r="F252" s="68">
        <v>7500</v>
      </c>
      <c r="G252" s="68" t="s">
        <v>59</v>
      </c>
      <c r="H252" s="70">
        <f>-F252*D239</f>
        <v>-5275421.0526315793</v>
      </c>
    </row>
    <row r="253" spans="1:8" x14ac:dyDescent="0.25">
      <c r="A253" s="38"/>
      <c r="B253" s="49"/>
      <c r="C253" s="49" t="s">
        <v>60</v>
      </c>
      <c r="D253" s="78">
        <v>7.0000000000000007E-2</v>
      </c>
      <c r="E253" s="49" t="s">
        <v>61</v>
      </c>
      <c r="F253" s="68">
        <f>ROUND(-H253/D239,-2)</f>
        <v>2200</v>
      </c>
      <c r="G253" s="68" t="s">
        <v>59</v>
      </c>
      <c r="H253" s="70">
        <f>(H233+H234+H238)*-D253</f>
        <v>-1548286.7453052634</v>
      </c>
    </row>
    <row r="254" spans="1:8" x14ac:dyDescent="0.25">
      <c r="A254" s="38"/>
      <c r="B254" s="49"/>
      <c r="C254" s="49" t="s">
        <v>62</v>
      </c>
      <c r="D254" s="80">
        <v>2.5000000000000001E-2</v>
      </c>
      <c r="E254" s="49" t="s">
        <v>63</v>
      </c>
      <c r="F254" s="68">
        <f>-H254/D239</f>
        <v>746.82888208224836</v>
      </c>
      <c r="G254" s="68" t="s">
        <v>59</v>
      </c>
      <c r="H254" s="70">
        <f>-D254*((H233+H234+H238)*(1-G243))</f>
        <v>-525311.57429999998</v>
      </c>
    </row>
    <row r="255" spans="1:8" x14ac:dyDescent="0.25">
      <c r="A255" s="38"/>
      <c r="B255" s="49"/>
      <c r="C255" s="49" t="s">
        <v>64</v>
      </c>
      <c r="D255" s="49"/>
      <c r="E255" s="49"/>
      <c r="F255" s="68">
        <v>250</v>
      </c>
      <c r="G255" s="68" t="s">
        <v>59</v>
      </c>
      <c r="H255" s="70">
        <f>-F255*D239</f>
        <v>-175847.36842105264</v>
      </c>
    </row>
    <row r="256" spans="1:8" x14ac:dyDescent="0.25">
      <c r="A256" s="38"/>
      <c r="B256" s="74" t="s">
        <v>46</v>
      </c>
      <c r="C256" s="86" t="s">
        <v>65</v>
      </c>
      <c r="D256" s="74"/>
      <c r="E256" s="74"/>
      <c r="F256" s="87">
        <v>0.02</v>
      </c>
      <c r="G256" s="74" t="s">
        <v>66</v>
      </c>
      <c r="H256" s="77">
        <f>-F256*(H236+H237)</f>
        <v>0</v>
      </c>
    </row>
    <row r="257" spans="1:11" x14ac:dyDescent="0.25">
      <c r="A257" s="38"/>
      <c r="B257" s="49" t="s">
        <v>67</v>
      </c>
      <c r="C257" s="49"/>
      <c r="D257" s="78">
        <f>-H257/H249</f>
        <v>0.34190518925505792</v>
      </c>
      <c r="E257" s="68" t="s">
        <v>68</v>
      </c>
      <c r="F257" s="68">
        <f>-H257/D239</f>
        <v>10698.008745061506</v>
      </c>
      <c r="G257" s="68" t="s">
        <v>59</v>
      </c>
      <c r="H257" s="70">
        <f>SUM(H252:H256)</f>
        <v>-7524866.7406578949</v>
      </c>
      <c r="I257" s="1"/>
      <c r="J257" s="1"/>
      <c r="K257" s="1"/>
    </row>
    <row r="258" spans="1:11" ht="15.75" thickBot="1" x14ac:dyDescent="0.3">
      <c r="A258" s="38"/>
      <c r="B258" s="49"/>
      <c r="C258" s="49"/>
      <c r="D258" s="49"/>
      <c r="E258" s="32"/>
      <c r="F258" s="49"/>
      <c r="G258" s="49"/>
      <c r="H258" s="70"/>
      <c r="I258" s="1"/>
      <c r="J258" s="1"/>
      <c r="K258" s="1"/>
    </row>
    <row r="259" spans="1:11" ht="18.75" x14ac:dyDescent="0.3">
      <c r="A259" s="79" t="s">
        <v>69</v>
      </c>
      <c r="B259" s="49"/>
      <c r="C259" s="49"/>
      <c r="D259" s="78">
        <f>+H259/H249</f>
        <v>0.65809481074494203</v>
      </c>
      <c r="E259" s="68" t="s">
        <v>68</v>
      </c>
      <c r="F259" s="68">
        <f>+H259/D239</f>
        <v>20591.392765252793</v>
      </c>
      <c r="G259" s="68" t="s">
        <v>59</v>
      </c>
      <c r="H259" s="70">
        <f>+H249+H257</f>
        <v>14483768.919576023</v>
      </c>
      <c r="I259" s="1"/>
      <c r="J259" s="88">
        <f>+H259/1.25</f>
        <v>11587015.135660818</v>
      </c>
      <c r="K259" s="89" t="s">
        <v>70</v>
      </c>
    </row>
    <row r="260" spans="1:11" x14ac:dyDescent="0.25">
      <c r="A260" s="38"/>
      <c r="B260" s="49"/>
      <c r="C260" s="49"/>
      <c r="D260" s="49"/>
      <c r="E260" s="49"/>
      <c r="F260" s="49"/>
      <c r="G260" s="49"/>
      <c r="H260" s="70"/>
      <c r="I260" s="1"/>
      <c r="J260" s="90">
        <f>-J259/(PMT(0.04/12,30*12,1)*12)</f>
        <v>202252546.95641831</v>
      </c>
      <c r="K260" s="91" t="s">
        <v>71</v>
      </c>
    </row>
    <row r="261" spans="1:11" ht="18.75" x14ac:dyDescent="0.3">
      <c r="A261" s="79" t="s">
        <v>72</v>
      </c>
      <c r="B261" s="49"/>
      <c r="C261" s="49"/>
      <c r="D261" s="49"/>
      <c r="E261" s="49"/>
      <c r="F261" s="49"/>
      <c r="G261" s="49"/>
      <c r="H261" s="70"/>
      <c r="I261" s="1"/>
      <c r="J261" s="92">
        <f>+H275-J260</f>
        <v>35047453.043581694</v>
      </c>
      <c r="K261" s="91" t="s">
        <v>73</v>
      </c>
    </row>
    <row r="262" spans="1:11" x14ac:dyDescent="0.25">
      <c r="A262" s="38"/>
      <c r="B262" s="49" t="s">
        <v>74</v>
      </c>
      <c r="C262" s="49"/>
      <c r="D262" s="49"/>
      <c r="E262" s="93" t="s">
        <v>75</v>
      </c>
      <c r="F262" s="94">
        <v>0.05</v>
      </c>
      <c r="G262" s="49" t="s">
        <v>76</v>
      </c>
      <c r="H262" s="70">
        <f>+H259/F262</f>
        <v>289675378.39152044</v>
      </c>
      <c r="I262" s="1"/>
      <c r="J262" s="92">
        <f>+H259-J259</f>
        <v>2896753.7839152049</v>
      </c>
      <c r="K262" s="91" t="s">
        <v>77</v>
      </c>
    </row>
    <row r="263" spans="1:11" ht="15.75" thickBot="1" x14ac:dyDescent="0.3">
      <c r="A263" s="38"/>
      <c r="B263" s="49"/>
      <c r="C263" s="49"/>
      <c r="D263" s="49"/>
      <c r="E263" s="49"/>
      <c r="F263" s="49"/>
      <c r="G263" s="93" t="s">
        <v>78</v>
      </c>
      <c r="H263" s="70">
        <f>ROUND(H262,-5)</f>
        <v>289700000</v>
      </c>
      <c r="I263" s="1"/>
      <c r="J263" s="95">
        <f>+J262/J261</f>
        <v>8.2652333689214916E-2</v>
      </c>
      <c r="K263" s="96" t="s">
        <v>79</v>
      </c>
    </row>
    <row r="264" spans="1:11" x14ac:dyDescent="0.25">
      <c r="A264" s="38"/>
      <c r="B264" s="49"/>
      <c r="C264" s="49"/>
      <c r="D264" s="49"/>
      <c r="E264" s="49"/>
      <c r="F264" s="49"/>
      <c r="G264" s="93" t="s">
        <v>80</v>
      </c>
      <c r="H264" s="70">
        <f>+H263/E240</f>
        <v>433.5398521445033</v>
      </c>
      <c r="I264" s="1"/>
      <c r="J264" s="1"/>
      <c r="K264" s="1"/>
    </row>
    <row r="265" spans="1:11" x14ac:dyDescent="0.25">
      <c r="A265" s="38"/>
      <c r="B265" s="49"/>
      <c r="C265" s="49"/>
      <c r="D265" s="49"/>
      <c r="E265" s="49"/>
      <c r="F265" s="49"/>
      <c r="G265" s="93" t="s">
        <v>59</v>
      </c>
      <c r="H265" s="70">
        <f>+H263/D239</f>
        <v>411862.85953727813</v>
      </c>
      <c r="I265" s="1"/>
      <c r="J265" s="1"/>
      <c r="K265" s="2"/>
    </row>
    <row r="266" spans="1:11" x14ac:dyDescent="0.25">
      <c r="A266" s="97"/>
      <c r="B266" s="74"/>
      <c r="C266" s="74"/>
      <c r="D266" s="74"/>
      <c r="E266" s="74"/>
      <c r="F266" s="74"/>
      <c r="G266" s="98"/>
      <c r="H266" s="77"/>
      <c r="I266" s="1"/>
      <c r="J266" s="1"/>
      <c r="K266" s="1"/>
    </row>
    <row r="267" spans="1:11" x14ac:dyDescent="0.25">
      <c r="A267" s="38"/>
      <c r="B267" s="49"/>
      <c r="C267" s="49"/>
      <c r="D267" s="49"/>
      <c r="E267" s="49"/>
      <c r="F267" s="94"/>
      <c r="G267" s="49"/>
      <c r="H267" s="70"/>
      <c r="I267" s="1"/>
      <c r="J267" s="1"/>
      <c r="K267" s="1"/>
    </row>
    <row r="268" spans="1:11" ht="19.5" thickBot="1" x14ac:dyDescent="0.35">
      <c r="A268" s="79" t="s">
        <v>81</v>
      </c>
      <c r="B268" s="49"/>
      <c r="C268" s="49"/>
      <c r="D268" s="49"/>
      <c r="E268" s="49"/>
      <c r="F268" s="49"/>
      <c r="G268" s="49"/>
      <c r="H268" s="70"/>
      <c r="I268" s="1"/>
      <c r="J268" s="1"/>
      <c r="K268" s="1"/>
    </row>
    <row r="269" spans="1:11" ht="19.5" thickBot="1" x14ac:dyDescent="0.35">
      <c r="A269" s="79"/>
      <c r="B269" s="49" t="s">
        <v>82</v>
      </c>
      <c r="C269" s="49"/>
      <c r="D269" s="68">
        <f>+H269/D239</f>
        <v>17443.750906541605</v>
      </c>
      <c r="E269" s="49" t="s">
        <v>59</v>
      </c>
      <c r="F269" s="73">
        <v>70</v>
      </c>
      <c r="G269" s="49" t="s">
        <v>83</v>
      </c>
      <c r="H269" s="99">
        <f>F269*H215</f>
        <v>12269750.76923077</v>
      </c>
      <c r="I269" s="1"/>
      <c r="J269" s="1"/>
      <c r="K269" s="1"/>
    </row>
    <row r="270" spans="1:11" ht="12.75" customHeight="1" x14ac:dyDescent="0.3">
      <c r="A270" s="79"/>
      <c r="B270" s="49" t="s">
        <v>84</v>
      </c>
      <c r="C270" s="49"/>
      <c r="D270" s="68">
        <v>300000</v>
      </c>
      <c r="E270" s="49" t="s">
        <v>59</v>
      </c>
      <c r="F270" s="67">
        <f>H225</f>
        <v>0</v>
      </c>
      <c r="G270" s="49" t="s">
        <v>35</v>
      </c>
      <c r="H270" s="70">
        <f>+F270*D270</f>
        <v>0</v>
      </c>
      <c r="I270" s="1"/>
      <c r="J270" s="1"/>
      <c r="K270" s="1"/>
    </row>
    <row r="271" spans="1:11" x14ac:dyDescent="0.25">
      <c r="A271" s="38"/>
      <c r="B271" s="49" t="s">
        <v>57</v>
      </c>
      <c r="C271" s="49"/>
      <c r="D271" s="49"/>
      <c r="E271" s="49"/>
      <c r="F271" s="73">
        <f>280*0.92</f>
        <v>257.60000000000002</v>
      </c>
      <c r="G271" s="49" t="s">
        <v>85</v>
      </c>
      <c r="H271" s="70">
        <f>+F271*E240</f>
        <v>172133472.00000003</v>
      </c>
      <c r="I271" s="1"/>
      <c r="J271" s="1"/>
      <c r="K271" s="1"/>
    </row>
    <row r="272" spans="1:11" x14ac:dyDescent="0.25">
      <c r="A272" s="38"/>
      <c r="B272" s="49" t="s">
        <v>46</v>
      </c>
      <c r="C272" s="49"/>
      <c r="D272" s="49"/>
      <c r="E272" s="49"/>
      <c r="F272" s="73">
        <v>280</v>
      </c>
      <c r="G272" s="49" t="s">
        <v>85</v>
      </c>
      <c r="H272" s="70">
        <f>F272*(E241)</f>
        <v>0</v>
      </c>
      <c r="I272" s="1"/>
      <c r="J272" s="1"/>
      <c r="K272" s="1"/>
    </row>
    <row r="273" spans="1:11" x14ac:dyDescent="0.25">
      <c r="A273" s="38"/>
      <c r="B273" s="49" t="s">
        <v>86</v>
      </c>
      <c r="C273" s="49" t="s">
        <v>87</v>
      </c>
      <c r="D273" s="67">
        <f>+D238</f>
        <v>527.54210526315796</v>
      </c>
      <c r="E273" s="32" t="s">
        <v>88</v>
      </c>
      <c r="F273" s="68">
        <v>35000</v>
      </c>
      <c r="G273" s="49" t="s">
        <v>89</v>
      </c>
      <c r="H273" s="70">
        <f>+F273*D238</f>
        <v>18463973.684210528</v>
      </c>
      <c r="I273" s="1"/>
      <c r="J273" s="1"/>
    </row>
    <row r="274" spans="1:11" x14ac:dyDescent="0.25">
      <c r="A274" s="38"/>
      <c r="B274" s="74" t="s">
        <v>90</v>
      </c>
      <c r="C274" s="74"/>
      <c r="D274" s="74"/>
      <c r="E274" s="74"/>
      <c r="F274" s="87">
        <v>0.2</v>
      </c>
      <c r="G274" s="74" t="s">
        <v>91</v>
      </c>
      <c r="H274" s="77">
        <f>ROUND((H271+H272)*F274,-5)</f>
        <v>34400000</v>
      </c>
      <c r="I274" s="1"/>
      <c r="J274" s="1"/>
    </row>
    <row r="275" spans="1:11" x14ac:dyDescent="0.25">
      <c r="A275" s="38"/>
      <c r="B275" s="49"/>
      <c r="C275" s="49"/>
      <c r="D275" s="49"/>
      <c r="E275" s="49"/>
      <c r="F275" s="49"/>
      <c r="G275" s="93" t="s">
        <v>78</v>
      </c>
      <c r="H275" s="70">
        <f>ROUND(SUM(H269:H274),-5)</f>
        <v>237300000</v>
      </c>
      <c r="I275" s="1"/>
      <c r="J275" s="1"/>
    </row>
    <row r="276" spans="1:11" x14ac:dyDescent="0.25">
      <c r="A276" s="38"/>
      <c r="B276" s="49"/>
      <c r="C276" s="49"/>
      <c r="D276" s="49"/>
      <c r="E276" s="49"/>
      <c r="F276" s="49"/>
      <c r="G276" s="93" t="s">
        <v>80</v>
      </c>
      <c r="H276" s="70">
        <f>+H275/(E240+E241)</f>
        <v>355.12256442489002</v>
      </c>
      <c r="I276" s="1"/>
      <c r="J276" s="1"/>
    </row>
    <row r="277" spans="1:11" x14ac:dyDescent="0.25">
      <c r="A277" s="38"/>
      <c r="B277" s="49"/>
      <c r="C277" s="49"/>
      <c r="D277" s="49"/>
      <c r="E277" s="49"/>
      <c r="F277" s="49"/>
      <c r="G277" s="93" t="s">
        <v>59</v>
      </c>
      <c r="H277" s="70">
        <f>+H275/H218</f>
        <v>337366.43620364548</v>
      </c>
      <c r="I277" s="1"/>
      <c r="J277" s="1">
        <v>486340.6795224977</v>
      </c>
    </row>
    <row r="278" spans="1:11" x14ac:dyDescent="0.25">
      <c r="A278" s="38"/>
      <c r="B278" s="49"/>
      <c r="C278" s="49"/>
      <c r="D278" s="49"/>
      <c r="E278" s="49"/>
      <c r="F278" s="49"/>
      <c r="G278" s="49"/>
      <c r="H278" s="70"/>
      <c r="I278" s="1"/>
      <c r="J278" s="1"/>
    </row>
    <row r="279" spans="1:11" ht="18.75" x14ac:dyDescent="0.3">
      <c r="A279" s="100" t="s">
        <v>92</v>
      </c>
      <c r="B279" s="49"/>
      <c r="C279" s="49"/>
      <c r="D279" s="49"/>
      <c r="E279" s="93" t="s">
        <v>93</v>
      </c>
      <c r="F279" s="80">
        <f>+H259/H275</f>
        <v>6.1035688662351553E-2</v>
      </c>
      <c r="G279" s="93" t="s">
        <v>94</v>
      </c>
      <c r="H279" s="70">
        <f>+H263-H275</f>
        <v>52400000</v>
      </c>
      <c r="I279" s="1"/>
      <c r="J279" s="1"/>
    </row>
    <row r="280" spans="1:11" ht="15.75" thickBot="1" x14ac:dyDescent="0.3">
      <c r="A280" s="101"/>
      <c r="B280" s="102"/>
      <c r="C280" s="102"/>
      <c r="D280" s="103"/>
      <c r="E280" s="103"/>
      <c r="F280" s="103"/>
      <c r="G280" s="102"/>
      <c r="H280" s="104"/>
      <c r="I280" s="1"/>
      <c r="J280" s="1"/>
    </row>
    <row r="281" spans="1:11" ht="15.75" thickBo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</row>
    <row r="282" spans="1:11" ht="18.75" x14ac:dyDescent="0.3">
      <c r="A282" s="3" t="s">
        <v>7</v>
      </c>
      <c r="B282" s="4"/>
      <c r="C282" s="5" t="s">
        <v>8</v>
      </c>
      <c r="D282" s="6" t="s">
        <v>9</v>
      </c>
      <c r="E282" s="7"/>
      <c r="F282" s="7"/>
      <c r="G282" s="8" t="s">
        <v>10</v>
      </c>
      <c r="H282" s="25" t="s">
        <v>11</v>
      </c>
      <c r="I282" s="1"/>
      <c r="J282" s="1"/>
    </row>
    <row r="283" spans="1:11" ht="18.75" x14ac:dyDescent="0.3">
      <c r="A283" s="26" t="s">
        <v>12</v>
      </c>
      <c r="B283" s="27"/>
      <c r="C283" s="11"/>
      <c r="D283" s="28" t="s">
        <v>1</v>
      </c>
      <c r="E283" s="12" t="s">
        <v>13</v>
      </c>
      <c r="F283" s="29"/>
      <c r="G283" s="30" t="s">
        <v>14</v>
      </c>
      <c r="H283" s="31">
        <v>50375</v>
      </c>
      <c r="I283" s="1"/>
      <c r="J283" s="1"/>
    </row>
    <row r="284" spans="1:11" ht="18.75" x14ac:dyDescent="0.3">
      <c r="A284" s="26" t="s">
        <v>104</v>
      </c>
      <c r="B284" s="27"/>
      <c r="C284" s="32"/>
      <c r="D284" s="11" t="s">
        <v>16</v>
      </c>
      <c r="E284" s="12"/>
      <c r="F284" s="33"/>
      <c r="G284" s="14" t="s">
        <v>4</v>
      </c>
      <c r="H284" s="111">
        <f>H285/H283</f>
        <v>4.7592059553349877</v>
      </c>
      <c r="I284" s="148" t="s">
        <v>138</v>
      </c>
      <c r="J284" s="146"/>
      <c r="K284" s="144" t="s">
        <v>139</v>
      </c>
    </row>
    <row r="285" spans="1:11" ht="19.5" thickBot="1" x14ac:dyDescent="0.35">
      <c r="A285" s="34" t="s">
        <v>17</v>
      </c>
      <c r="B285" s="35"/>
      <c r="C285" s="36"/>
      <c r="D285" s="11" t="s">
        <v>18</v>
      </c>
      <c r="E285" s="17"/>
      <c r="F285" s="17"/>
      <c r="G285" s="37" t="s">
        <v>19</v>
      </c>
      <c r="H285" s="31">
        <v>239745</v>
      </c>
      <c r="I285" s="145">
        <f>H283*2</f>
        <v>100750</v>
      </c>
      <c r="J285" s="146" t="s">
        <v>137</v>
      </c>
      <c r="K285" s="144">
        <f>I285/G286</f>
        <v>106.05263157894737</v>
      </c>
    </row>
    <row r="286" spans="1:11" ht="18.75" x14ac:dyDescent="0.3">
      <c r="A286" s="38"/>
      <c r="B286" s="32"/>
      <c r="C286" s="36"/>
      <c r="D286" s="11" t="s">
        <v>5</v>
      </c>
      <c r="E286" s="17"/>
      <c r="F286" s="17"/>
      <c r="G286" s="18">
        <f>G218</f>
        <v>950</v>
      </c>
      <c r="H286" s="39">
        <f>H285/G286</f>
        <v>252.36315789473684</v>
      </c>
      <c r="I286" s="145">
        <f>H285-I285</f>
        <v>138995</v>
      </c>
      <c r="J286" s="147" t="s">
        <v>140</v>
      </c>
      <c r="K286" s="144">
        <f>I286/G286</f>
        <v>146.31052631578947</v>
      </c>
    </row>
    <row r="287" spans="1:11" ht="18.75" x14ac:dyDescent="0.3">
      <c r="A287" s="38"/>
      <c r="B287" s="32"/>
      <c r="C287" s="1"/>
      <c r="D287" s="11" t="s">
        <v>20</v>
      </c>
      <c r="E287" s="17"/>
      <c r="F287" s="17"/>
      <c r="G287" s="41"/>
      <c r="H287" s="42">
        <v>0.75</v>
      </c>
      <c r="I287" s="143"/>
      <c r="J287" s="143"/>
      <c r="K287" s="144">
        <f>SUM(K285:K286)</f>
        <v>252.36315789473684</v>
      </c>
    </row>
    <row r="288" spans="1:11" ht="18.75" x14ac:dyDescent="0.3">
      <c r="A288" s="38"/>
      <c r="B288" s="32"/>
      <c r="C288" s="21" t="s">
        <v>21</v>
      </c>
      <c r="D288" s="21" t="s">
        <v>101</v>
      </c>
      <c r="E288" s="22"/>
      <c r="F288" s="22"/>
      <c r="G288" s="21"/>
      <c r="H288" s="23">
        <f>K285*0.13</f>
        <v>13.786842105263158</v>
      </c>
      <c r="I288" s="1"/>
    </row>
    <row r="289" spans="1:10" ht="18.75" x14ac:dyDescent="0.3">
      <c r="A289" s="38"/>
      <c r="B289" s="32"/>
      <c r="C289" s="45"/>
      <c r="D289" s="21" t="s">
        <v>102</v>
      </c>
      <c r="E289" s="22"/>
      <c r="F289" s="22"/>
      <c r="G289" s="21"/>
      <c r="H289" s="141">
        <v>41</v>
      </c>
      <c r="I289" s="1"/>
      <c r="J289" s="44">
        <f>K285*0.13+K286*0.28</f>
        <v>54.753789473684222</v>
      </c>
    </row>
    <row r="290" spans="1:10" ht="18.75" x14ac:dyDescent="0.3">
      <c r="A290" s="38"/>
      <c r="B290" s="32"/>
      <c r="C290" s="45"/>
      <c r="D290" s="21" t="s">
        <v>23</v>
      </c>
      <c r="E290" s="22"/>
      <c r="F290" s="22"/>
      <c r="G290" s="21"/>
      <c r="H290" s="141">
        <f>SUM(H288:H289)</f>
        <v>54.786842105263162</v>
      </c>
      <c r="I290" s="1"/>
      <c r="J290" s="140"/>
    </row>
    <row r="291" spans="1:10" ht="18.75" x14ac:dyDescent="0.3">
      <c r="A291" s="38"/>
      <c r="B291" s="32"/>
      <c r="C291" s="1"/>
      <c r="D291" s="21" t="s">
        <v>24</v>
      </c>
      <c r="E291" s="22"/>
      <c r="F291" s="22"/>
      <c r="G291" s="21"/>
      <c r="H291" s="46">
        <f>(H290+H293)/H286</f>
        <v>0.21709524703330624</v>
      </c>
      <c r="I291" s="1"/>
    </row>
    <row r="292" spans="1:10" ht="18.75" x14ac:dyDescent="0.3">
      <c r="A292" s="38"/>
      <c r="B292" s="32"/>
      <c r="C292" s="45"/>
      <c r="D292" s="21" t="s">
        <v>17</v>
      </c>
      <c r="E292" s="22"/>
      <c r="F292" s="22"/>
      <c r="G292" s="21"/>
      <c r="H292" s="47"/>
      <c r="I292" s="1"/>
    </row>
    <row r="293" spans="1:10" ht="18.75" x14ac:dyDescent="0.3">
      <c r="A293" s="38"/>
      <c r="B293" s="32"/>
      <c r="C293" s="36"/>
      <c r="D293" s="21" t="s">
        <v>98</v>
      </c>
      <c r="E293" s="22"/>
      <c r="F293" s="22"/>
      <c r="G293" s="21"/>
      <c r="H293" s="23">
        <v>0</v>
      </c>
      <c r="I293" s="110">
        <f>J289-H290</f>
        <v>-3.3052631578939895E-2</v>
      </c>
      <c r="J293" s="150"/>
    </row>
    <row r="294" spans="1:10" ht="18.75" x14ac:dyDescent="0.3">
      <c r="A294" s="38"/>
      <c r="B294" s="32"/>
      <c r="C294" s="36"/>
      <c r="D294" s="21" t="s">
        <v>27</v>
      </c>
      <c r="E294" s="22"/>
      <c r="F294" s="22"/>
      <c r="G294" s="21"/>
      <c r="H294" s="48">
        <v>300000</v>
      </c>
      <c r="I294" s="1"/>
    </row>
    <row r="295" spans="1:10" ht="19.5" thickBot="1" x14ac:dyDescent="0.35">
      <c r="A295" s="38"/>
      <c r="B295" s="32"/>
      <c r="C295" s="49"/>
      <c r="D295" s="45"/>
      <c r="E295" s="45"/>
      <c r="F295" s="49"/>
      <c r="G295" s="45"/>
      <c r="H295" s="50"/>
      <c r="I295" s="1"/>
    </row>
    <row r="296" spans="1:10" ht="19.5" thickBot="1" x14ac:dyDescent="0.35">
      <c r="A296" s="38"/>
      <c r="B296" s="32"/>
      <c r="C296" s="51" t="s">
        <v>28</v>
      </c>
      <c r="D296" s="51" t="s">
        <v>29</v>
      </c>
      <c r="E296" s="52"/>
      <c r="F296" s="53">
        <v>6.0999999999999999E-2</v>
      </c>
      <c r="G296" s="54" t="s">
        <v>30</v>
      </c>
      <c r="H296" s="55">
        <f>+F347</f>
        <v>6.0788559142118101E-2</v>
      </c>
      <c r="I296" s="1"/>
    </row>
    <row r="297" spans="1:10" ht="18.75" x14ac:dyDescent="0.3">
      <c r="A297" s="38"/>
      <c r="B297" s="32"/>
      <c r="C297" s="36"/>
      <c r="D297" s="51" t="s">
        <v>31</v>
      </c>
      <c r="E297" s="52"/>
      <c r="F297" s="56">
        <f>F229</f>
        <v>3.65</v>
      </c>
      <c r="G297" s="51" t="s">
        <v>32</v>
      </c>
      <c r="H297" s="57"/>
      <c r="I297" s="1"/>
    </row>
    <row r="298" spans="1:10" ht="19.5" thickBot="1" x14ac:dyDescent="0.35">
      <c r="A298" s="38"/>
      <c r="B298" s="32"/>
      <c r="C298" s="32"/>
      <c r="D298" s="36"/>
      <c r="E298" s="45"/>
      <c r="F298" s="49"/>
      <c r="G298" s="45"/>
      <c r="H298" s="58"/>
      <c r="I298" s="1"/>
    </row>
    <row r="299" spans="1:10" ht="18.75" x14ac:dyDescent="0.3">
      <c r="A299" s="59" t="s">
        <v>33</v>
      </c>
      <c r="B299" s="60"/>
      <c r="C299" s="60"/>
      <c r="D299" s="60"/>
      <c r="E299" s="60"/>
      <c r="F299" s="60"/>
      <c r="G299" s="60"/>
      <c r="H299" s="61"/>
      <c r="I299" s="1"/>
    </row>
    <row r="300" spans="1:10" ht="30" x14ac:dyDescent="0.25">
      <c r="A300" s="62" t="s">
        <v>34</v>
      </c>
      <c r="B300" s="63"/>
      <c r="C300" s="63"/>
      <c r="D300" s="64" t="s">
        <v>35</v>
      </c>
      <c r="E300" s="64" t="s">
        <v>36</v>
      </c>
      <c r="F300" s="64" t="s">
        <v>37</v>
      </c>
      <c r="G300" s="64" t="s">
        <v>38</v>
      </c>
      <c r="H300" s="65" t="s">
        <v>39</v>
      </c>
      <c r="I300" s="1"/>
    </row>
    <row r="301" spans="1:10" x14ac:dyDescent="0.25">
      <c r="A301" s="38"/>
      <c r="B301" s="49" t="s">
        <v>40</v>
      </c>
      <c r="C301" s="49" t="s">
        <v>41</v>
      </c>
      <c r="D301" s="66">
        <f>ROUND(H286-D302-D303,0)</f>
        <v>198</v>
      </c>
      <c r="E301" s="67">
        <v>810</v>
      </c>
      <c r="F301" s="68">
        <f>+G301*E301</f>
        <v>2956.5</v>
      </c>
      <c r="G301" s="69">
        <f>F297</f>
        <v>3.65</v>
      </c>
      <c r="H301" s="70">
        <f>+D301*F301*12</f>
        <v>7024644</v>
      </c>
      <c r="I301" s="1"/>
    </row>
    <row r="302" spans="1:10" x14ac:dyDescent="0.25">
      <c r="A302" s="38"/>
      <c r="B302" s="71" t="s">
        <v>42</v>
      </c>
      <c r="C302" s="49" t="s">
        <v>43</v>
      </c>
      <c r="D302" s="66">
        <f>H288</f>
        <v>13.786842105263158</v>
      </c>
      <c r="E302" s="67">
        <v>810</v>
      </c>
      <c r="F302" s="68">
        <v>1098.26</v>
      </c>
      <c r="G302" s="72">
        <f>IF(H302=0,0,+H302/(E302*D302)/12)</f>
        <v>1.3558765432098765</v>
      </c>
      <c r="H302" s="70">
        <f>+F302*D302*12</f>
        <v>181698.44652631579</v>
      </c>
      <c r="I302" s="1"/>
    </row>
    <row r="303" spans="1:10" x14ac:dyDescent="0.25">
      <c r="A303" s="38"/>
      <c r="B303" s="71" t="s">
        <v>44</v>
      </c>
      <c r="C303" s="49" t="s">
        <v>45</v>
      </c>
      <c r="D303" s="66">
        <f>H289</f>
        <v>41</v>
      </c>
      <c r="E303" s="67">
        <v>810</v>
      </c>
      <c r="F303" s="68">
        <v>784.93925925925919</v>
      </c>
      <c r="G303" s="73">
        <f>IF(H303=0,0,+H303/(E303*D303)/12)</f>
        <v>0.96906081390031995</v>
      </c>
      <c r="H303" s="70">
        <f>+F303*D303*12</f>
        <v>386190.1155555555</v>
      </c>
      <c r="I303" s="1"/>
    </row>
    <row r="304" spans="1:10" x14ac:dyDescent="0.25">
      <c r="A304" s="38"/>
      <c r="B304" s="49" t="s">
        <v>46</v>
      </c>
      <c r="C304" s="49" t="s">
        <v>47</v>
      </c>
      <c r="D304" s="67">
        <v>0</v>
      </c>
      <c r="E304" s="67">
        <v>0</v>
      </c>
      <c r="F304" s="73">
        <v>0</v>
      </c>
      <c r="G304" s="73">
        <v>0</v>
      </c>
      <c r="H304" s="70">
        <f>+G304*E304*D304</f>
        <v>0</v>
      </c>
      <c r="I304" s="1"/>
    </row>
    <row r="305" spans="1:8" x14ac:dyDescent="0.25">
      <c r="A305" s="38"/>
      <c r="B305" s="49"/>
      <c r="C305" s="49" t="s">
        <v>48</v>
      </c>
      <c r="D305" s="67">
        <v>0</v>
      </c>
      <c r="E305" s="67">
        <v>5000</v>
      </c>
      <c r="F305" s="73">
        <f>+G305/12</f>
        <v>0</v>
      </c>
      <c r="G305" s="73">
        <v>0</v>
      </c>
      <c r="H305" s="70">
        <f>+G305*E305*D305</f>
        <v>0</v>
      </c>
    </row>
    <row r="306" spans="1:8" x14ac:dyDescent="0.25">
      <c r="A306" s="38"/>
      <c r="B306" s="74" t="s">
        <v>49</v>
      </c>
      <c r="C306" s="74"/>
      <c r="D306" s="75">
        <f>+H286*H287</f>
        <v>189.27236842105265</v>
      </c>
      <c r="E306" s="76"/>
      <c r="F306" s="76"/>
      <c r="G306" s="76">
        <v>250</v>
      </c>
      <c r="H306" s="77">
        <f>+D306*G306*12</f>
        <v>567817.10526315798</v>
      </c>
    </row>
    <row r="307" spans="1:8" x14ac:dyDescent="0.25">
      <c r="A307" s="38"/>
      <c r="B307" s="49" t="s">
        <v>50</v>
      </c>
      <c r="C307" s="49"/>
      <c r="D307" s="66">
        <f>+H286</f>
        <v>252.36315789473684</v>
      </c>
      <c r="E307" s="67">
        <f>(E301*D301)+(E302*D302)</f>
        <v>171547.34210526315</v>
      </c>
      <c r="F307" s="73"/>
      <c r="G307" s="68"/>
      <c r="H307" s="70">
        <f>SUM(H301:H306)</f>
        <v>8160349.6673450293</v>
      </c>
    </row>
    <row r="308" spans="1:8" x14ac:dyDescent="0.25">
      <c r="A308" s="38"/>
      <c r="B308" s="49" t="s">
        <v>51</v>
      </c>
      <c r="C308" s="49"/>
      <c r="D308" s="78">
        <v>0.85</v>
      </c>
      <c r="E308" s="67">
        <f>+H285</f>
        <v>239745</v>
      </c>
      <c r="F308" s="68"/>
      <c r="G308" s="68"/>
      <c r="H308" s="70"/>
    </row>
    <row r="309" spans="1:8" x14ac:dyDescent="0.25">
      <c r="A309" s="38"/>
      <c r="B309" s="49" t="s">
        <v>52</v>
      </c>
      <c r="C309" s="49"/>
      <c r="D309" s="78">
        <v>1</v>
      </c>
      <c r="E309" s="67">
        <f>(E304*D304)+(D305*E305)</f>
        <v>0</v>
      </c>
      <c r="F309" s="68"/>
      <c r="G309" s="68"/>
      <c r="H309" s="70"/>
    </row>
    <row r="310" spans="1:8" x14ac:dyDescent="0.25">
      <c r="A310" s="38"/>
      <c r="B310" s="49"/>
      <c r="C310" s="49"/>
      <c r="D310" s="67"/>
      <c r="E310" s="68"/>
      <c r="F310" s="68"/>
      <c r="G310" s="68"/>
      <c r="H310" s="70"/>
    </row>
    <row r="311" spans="1:8" ht="18.75" x14ac:dyDescent="0.3">
      <c r="A311" s="79" t="s">
        <v>53</v>
      </c>
      <c r="B311" s="49"/>
      <c r="C311" s="49" t="str">
        <f>+C301</f>
        <v>Market Rate</v>
      </c>
      <c r="D311" s="67"/>
      <c r="E311" s="68"/>
      <c r="F311" s="68"/>
      <c r="G311" s="80">
        <v>0.05</v>
      </c>
      <c r="H311" s="70">
        <f>-G311*H301</f>
        <v>-351232.2</v>
      </c>
    </row>
    <row r="312" spans="1:8" ht="12.75" customHeight="1" x14ac:dyDescent="0.3">
      <c r="A312" s="79"/>
      <c r="B312" s="49"/>
      <c r="C312" s="49" t="str">
        <f>+C302</f>
        <v>Low Income</v>
      </c>
      <c r="D312" s="67"/>
      <c r="E312" s="68"/>
      <c r="F312" s="68"/>
      <c r="G312" s="80">
        <v>0</v>
      </c>
      <c r="H312" s="70">
        <f>-G312*H302</f>
        <v>0</v>
      </c>
    </row>
    <row r="313" spans="1:8" ht="12.75" customHeight="1" x14ac:dyDescent="0.3">
      <c r="A313" s="79"/>
      <c r="B313" s="49"/>
      <c r="C313" s="49" t="str">
        <f>+C304</f>
        <v>Market Rate Retail</v>
      </c>
      <c r="D313" s="67"/>
      <c r="E313" s="68"/>
      <c r="F313" s="68"/>
      <c r="G313" s="80">
        <v>0.1</v>
      </c>
      <c r="H313" s="70">
        <f>-G313*H304</f>
        <v>0</v>
      </c>
    </row>
    <row r="314" spans="1:8" x14ac:dyDescent="0.25">
      <c r="A314" s="38"/>
      <c r="B314" s="74"/>
      <c r="C314" s="74" t="str">
        <f>+C305</f>
        <v>Affordable Innovation</v>
      </c>
      <c r="D314" s="75"/>
      <c r="E314" s="76"/>
      <c r="F314" s="76"/>
      <c r="G314" s="81">
        <v>0.2</v>
      </c>
      <c r="H314" s="77">
        <f>-G314*H305</f>
        <v>0</v>
      </c>
    </row>
    <row r="315" spans="1:8" x14ac:dyDescent="0.25">
      <c r="A315" s="38"/>
      <c r="B315" s="49" t="s">
        <v>54</v>
      </c>
      <c r="C315" s="49"/>
      <c r="D315" s="67"/>
      <c r="E315" s="68"/>
      <c r="F315" s="68"/>
      <c r="G315" s="80"/>
      <c r="H315" s="70">
        <f>SUM(H311:H314)</f>
        <v>-351232.2</v>
      </c>
    </row>
    <row r="316" spans="1:8" s="83" customFormat="1" ht="18.75" x14ac:dyDescent="0.3">
      <c r="A316" s="82"/>
      <c r="C316" s="45"/>
      <c r="D316" s="49"/>
      <c r="E316" s="49"/>
      <c r="F316" s="84"/>
      <c r="G316" s="85"/>
      <c r="H316" s="70"/>
    </row>
    <row r="317" spans="1:8" ht="18.75" x14ac:dyDescent="0.3">
      <c r="A317" s="79" t="s">
        <v>55</v>
      </c>
      <c r="B317" s="49"/>
      <c r="C317" s="49"/>
      <c r="D317" s="67"/>
      <c r="E317" s="68"/>
      <c r="F317" s="68"/>
      <c r="G317" s="68"/>
      <c r="H317" s="70">
        <f>+H307+H315</f>
        <v>7809117.4673450291</v>
      </c>
    </row>
    <row r="318" spans="1:8" x14ac:dyDescent="0.25">
      <c r="A318" s="38"/>
      <c r="B318" s="49"/>
      <c r="C318" s="49"/>
      <c r="D318" s="67"/>
      <c r="E318" s="68"/>
      <c r="F318" s="68"/>
      <c r="G318" s="68"/>
      <c r="H318" s="70"/>
    </row>
    <row r="319" spans="1:8" ht="18.75" x14ac:dyDescent="0.3">
      <c r="A319" s="79" t="s">
        <v>56</v>
      </c>
      <c r="B319" s="49"/>
      <c r="C319" s="49"/>
      <c r="D319" s="49"/>
      <c r="E319" s="49"/>
      <c r="F319" s="49"/>
      <c r="G319" s="49"/>
      <c r="H319" s="70"/>
    </row>
    <row r="320" spans="1:8" x14ac:dyDescent="0.25">
      <c r="A320" s="38"/>
      <c r="B320" s="49" t="s">
        <v>57</v>
      </c>
      <c r="C320" s="49" t="s">
        <v>58</v>
      </c>
      <c r="D320" s="49"/>
      <c r="E320" s="49"/>
      <c r="F320" s="68">
        <v>7500</v>
      </c>
      <c r="G320" s="68" t="s">
        <v>59</v>
      </c>
      <c r="H320" s="70">
        <f>-F320*D307</f>
        <v>-1892723.6842105263</v>
      </c>
    </row>
    <row r="321" spans="1:11" x14ac:dyDescent="0.25">
      <c r="A321" s="38"/>
      <c r="B321" s="49"/>
      <c r="C321" s="49" t="s">
        <v>60</v>
      </c>
      <c r="D321" s="78">
        <v>7.0000000000000007E-2</v>
      </c>
      <c r="E321" s="49" t="s">
        <v>61</v>
      </c>
      <c r="F321" s="68">
        <f>ROUND(-H321/D307,-2)</f>
        <v>2200</v>
      </c>
      <c r="G321" s="68" t="s">
        <v>59</v>
      </c>
      <c r="H321" s="70">
        <f>(H301+H302+H306)*-D321</f>
        <v>-544191.16862526326</v>
      </c>
      <c r="I321" s="1"/>
      <c r="J321" s="1"/>
      <c r="K321" s="1"/>
    </row>
    <row r="322" spans="1:11" x14ac:dyDescent="0.25">
      <c r="A322" s="38"/>
      <c r="B322" s="49"/>
      <c r="C322" s="49" t="s">
        <v>62</v>
      </c>
      <c r="D322" s="80">
        <v>2.5000000000000001E-2</v>
      </c>
      <c r="E322" s="49" t="s">
        <v>63</v>
      </c>
      <c r="F322" s="68">
        <f>-H322/D307</f>
        <v>731.62933486516931</v>
      </c>
      <c r="G322" s="68" t="s">
        <v>59</v>
      </c>
      <c r="H322" s="70">
        <f>-D322*((H301+H302+H306)*(1-G311))</f>
        <v>-184636.28935500002</v>
      </c>
      <c r="I322" s="1"/>
      <c r="J322" s="1"/>
      <c r="K322" s="1"/>
    </row>
    <row r="323" spans="1:11" x14ac:dyDescent="0.25">
      <c r="A323" s="38"/>
      <c r="B323" s="49"/>
      <c r="C323" s="49" t="s">
        <v>64</v>
      </c>
      <c r="D323" s="49"/>
      <c r="E323" s="49"/>
      <c r="F323" s="68">
        <v>250</v>
      </c>
      <c r="G323" s="68" t="s">
        <v>59</v>
      </c>
      <c r="H323" s="70">
        <f>-F323*D307</f>
        <v>-63090.789473684214</v>
      </c>
      <c r="I323" s="1"/>
      <c r="J323" s="1"/>
      <c r="K323" s="1"/>
    </row>
    <row r="324" spans="1:11" x14ac:dyDescent="0.25">
      <c r="A324" s="38"/>
      <c r="B324" s="74" t="s">
        <v>46</v>
      </c>
      <c r="C324" s="86" t="s">
        <v>65</v>
      </c>
      <c r="D324" s="74"/>
      <c r="E324" s="74"/>
      <c r="F324" s="87">
        <v>0.02</v>
      </c>
      <c r="G324" s="74" t="s">
        <v>66</v>
      </c>
      <c r="H324" s="77">
        <f>-F324*(H304+H305)</f>
        <v>0</v>
      </c>
      <c r="I324" s="1"/>
      <c r="J324" s="1"/>
      <c r="K324" s="1"/>
    </row>
    <row r="325" spans="1:11" x14ac:dyDescent="0.25">
      <c r="A325" s="38"/>
      <c r="B325" s="49" t="s">
        <v>67</v>
      </c>
      <c r="C325" s="49"/>
      <c r="D325" s="78">
        <f>-H325/H317</f>
        <v>0.34378301298331054</v>
      </c>
      <c r="E325" s="68" t="s">
        <v>68</v>
      </c>
      <c r="F325" s="68">
        <f>-H325/D307</f>
        <v>10638.010532362508</v>
      </c>
      <c r="G325" s="68" t="s">
        <v>59</v>
      </c>
      <c r="H325" s="70">
        <f>SUM(H320:H324)</f>
        <v>-2684641.9316644734</v>
      </c>
      <c r="I325" s="1"/>
      <c r="J325" s="1"/>
      <c r="K325" s="1"/>
    </row>
    <row r="326" spans="1:11" ht="15.75" thickBot="1" x14ac:dyDescent="0.3">
      <c r="A326" s="38"/>
      <c r="B326" s="49"/>
      <c r="C326" s="49"/>
      <c r="D326" s="49"/>
      <c r="E326" s="32"/>
      <c r="F326" s="49"/>
      <c r="G326" s="49"/>
      <c r="H326" s="70"/>
      <c r="I326" s="1"/>
      <c r="J326" s="1"/>
      <c r="K326" s="1"/>
    </row>
    <row r="327" spans="1:11" ht="18.75" x14ac:dyDescent="0.3">
      <c r="A327" s="79" t="s">
        <v>69</v>
      </c>
      <c r="B327" s="49"/>
      <c r="C327" s="49"/>
      <c r="D327" s="78">
        <f>+H327/H317</f>
        <v>0.6562169870166894</v>
      </c>
      <c r="E327" s="68" t="s">
        <v>68</v>
      </c>
      <c r="F327" s="68">
        <f>+H327/D307</f>
        <v>20305.957408482045</v>
      </c>
      <c r="G327" s="68" t="s">
        <v>59</v>
      </c>
      <c r="H327" s="70">
        <f>+H317+H325</f>
        <v>5124475.5356805557</v>
      </c>
      <c r="I327" s="1"/>
      <c r="J327" s="88">
        <f>+H327/1.25</f>
        <v>4099580.4285444445</v>
      </c>
      <c r="K327" s="89" t="s">
        <v>70</v>
      </c>
    </row>
    <row r="328" spans="1:11" x14ac:dyDescent="0.25">
      <c r="A328" s="38"/>
      <c r="B328" s="49"/>
      <c r="C328" s="49"/>
      <c r="D328" s="49"/>
      <c r="E328" s="49"/>
      <c r="F328" s="49"/>
      <c r="G328" s="49"/>
      <c r="H328" s="70"/>
      <c r="I328" s="1"/>
      <c r="J328" s="90">
        <f>-J327/(PMT(0.04/12,30*12,1)*12)</f>
        <v>71558600.158720821</v>
      </c>
      <c r="K328" s="91" t="s">
        <v>71</v>
      </c>
    </row>
    <row r="329" spans="1:11" ht="18.75" x14ac:dyDescent="0.3">
      <c r="A329" s="79" t="s">
        <v>72</v>
      </c>
      <c r="B329" s="49"/>
      <c r="C329" s="49"/>
      <c r="D329" s="49"/>
      <c r="E329" s="49"/>
      <c r="F329" s="49"/>
      <c r="G329" s="49"/>
      <c r="H329" s="70"/>
      <c r="I329" s="1"/>
      <c r="J329" s="92">
        <f>+H343-J328</f>
        <v>12741399.841279179</v>
      </c>
      <c r="K329" s="91" t="s">
        <v>73</v>
      </c>
    </row>
    <row r="330" spans="1:11" x14ac:dyDescent="0.25">
      <c r="A330" s="38"/>
      <c r="B330" s="49" t="s">
        <v>74</v>
      </c>
      <c r="C330" s="49"/>
      <c r="D330" s="49"/>
      <c r="E330" s="93" t="s">
        <v>75</v>
      </c>
      <c r="F330" s="94">
        <v>0.05</v>
      </c>
      <c r="G330" s="49" t="s">
        <v>76</v>
      </c>
      <c r="H330" s="70">
        <f>+H327/F330</f>
        <v>102489510.71361111</v>
      </c>
      <c r="I330" s="1"/>
      <c r="J330" s="92">
        <f>+H327-J327</f>
        <v>1024895.1071361112</v>
      </c>
      <c r="K330" s="91" t="s">
        <v>77</v>
      </c>
    </row>
    <row r="331" spans="1:11" ht="15.75" thickBot="1" x14ac:dyDescent="0.3">
      <c r="A331" s="38"/>
      <c r="B331" s="49"/>
      <c r="C331" s="49"/>
      <c r="D331" s="49"/>
      <c r="E331" s="49"/>
      <c r="F331" s="49"/>
      <c r="G331" s="93" t="s">
        <v>78</v>
      </c>
      <c r="H331" s="70">
        <f>ROUND(H330,-5)</f>
        <v>102500000</v>
      </c>
      <c r="I331" s="1"/>
      <c r="J331" s="95">
        <f>+J330/J329</f>
        <v>8.0438187318766105E-2</v>
      </c>
      <c r="K331" s="96" t="s">
        <v>79</v>
      </c>
    </row>
    <row r="332" spans="1:11" x14ac:dyDescent="0.25">
      <c r="A332" s="38"/>
      <c r="B332" s="49"/>
      <c r="C332" s="49"/>
      <c r="D332" s="49"/>
      <c r="E332" s="49"/>
      <c r="F332" s="49"/>
      <c r="G332" s="93" t="s">
        <v>80</v>
      </c>
      <c r="H332" s="70">
        <f>+H331/E308</f>
        <v>427.53759202485975</v>
      </c>
      <c r="I332" s="1"/>
      <c r="J332" s="1"/>
      <c r="K332" s="1"/>
    </row>
    <row r="333" spans="1:11" x14ac:dyDescent="0.25">
      <c r="A333" s="38"/>
      <c r="B333" s="49"/>
      <c r="C333" s="49"/>
      <c r="D333" s="49"/>
      <c r="E333" s="49"/>
      <c r="F333" s="49"/>
      <c r="G333" s="93" t="s">
        <v>59</v>
      </c>
      <c r="H333" s="70">
        <f>+H331/D307</f>
        <v>406160.71242361673</v>
      </c>
      <c r="I333" s="1"/>
      <c r="J333" s="1">
        <v>646091.59779614327</v>
      </c>
      <c r="K333" s="2">
        <f>+J333-H333</f>
        <v>239930.88537252654</v>
      </c>
    </row>
    <row r="334" spans="1:11" x14ac:dyDescent="0.25">
      <c r="A334" s="97"/>
      <c r="B334" s="74"/>
      <c r="C334" s="74"/>
      <c r="D334" s="74"/>
      <c r="E334" s="74"/>
      <c r="F334" s="74"/>
      <c r="G334" s="98"/>
      <c r="H334" s="77"/>
      <c r="I334" s="1"/>
      <c r="J334" s="1"/>
      <c r="K334" s="1"/>
    </row>
    <row r="335" spans="1:11" x14ac:dyDescent="0.25">
      <c r="A335" s="38"/>
      <c r="B335" s="49"/>
      <c r="C335" s="49"/>
      <c r="D335" s="49"/>
      <c r="E335" s="49"/>
      <c r="F335" s="94"/>
      <c r="G335" s="49"/>
      <c r="H335" s="70"/>
      <c r="I335" s="1"/>
      <c r="J335" s="1"/>
      <c r="K335" s="1"/>
    </row>
    <row r="336" spans="1:11" ht="19.5" thickBot="1" x14ac:dyDescent="0.35">
      <c r="A336" s="79" t="s">
        <v>81</v>
      </c>
      <c r="B336" s="49"/>
      <c r="C336" s="49"/>
      <c r="D336" s="49"/>
      <c r="E336" s="49"/>
      <c r="F336" s="49"/>
      <c r="G336" s="49"/>
      <c r="H336" s="70"/>
      <c r="I336" s="1"/>
      <c r="J336" s="1"/>
      <c r="K336" s="1"/>
    </row>
    <row r="337" spans="1:11" ht="19.5" thickBot="1" x14ac:dyDescent="0.35">
      <c r="A337" s="79"/>
      <c r="B337" s="49" t="s">
        <v>82</v>
      </c>
      <c r="C337" s="49"/>
      <c r="D337" s="68">
        <f>+H337/D307</f>
        <v>13972.919143256377</v>
      </c>
      <c r="E337" s="49" t="s">
        <v>59</v>
      </c>
      <c r="F337" s="73">
        <v>70</v>
      </c>
      <c r="G337" s="49" t="s">
        <v>83</v>
      </c>
      <c r="H337" s="99">
        <f>F337*H283</f>
        <v>3526250</v>
      </c>
    </row>
    <row r="338" spans="1:11" ht="12.75" customHeight="1" x14ac:dyDescent="0.3">
      <c r="A338" s="79"/>
      <c r="B338" s="49" t="s">
        <v>84</v>
      </c>
      <c r="C338" s="49"/>
      <c r="D338" s="68">
        <v>300000</v>
      </c>
      <c r="E338" s="49" t="s">
        <v>59</v>
      </c>
      <c r="F338" s="67">
        <f>H293</f>
        <v>0</v>
      </c>
      <c r="G338" s="49" t="s">
        <v>35</v>
      </c>
      <c r="H338" s="70">
        <f>+F338*D338</f>
        <v>0</v>
      </c>
    </row>
    <row r="339" spans="1:11" x14ac:dyDescent="0.25">
      <c r="A339" s="38"/>
      <c r="B339" s="49" t="s">
        <v>57</v>
      </c>
      <c r="C339" s="49"/>
      <c r="D339" s="49"/>
      <c r="E339" s="49"/>
      <c r="F339" s="73">
        <f>280*0.92</f>
        <v>257.60000000000002</v>
      </c>
      <c r="G339" s="49" t="s">
        <v>85</v>
      </c>
      <c r="H339" s="70">
        <f>+F339*E308</f>
        <v>61758312.000000007</v>
      </c>
    </row>
    <row r="340" spans="1:11" x14ac:dyDescent="0.25">
      <c r="A340" s="38"/>
      <c r="B340" s="49" t="s">
        <v>46</v>
      </c>
      <c r="C340" s="49"/>
      <c r="D340" s="49"/>
      <c r="E340" s="49"/>
      <c r="F340" s="73">
        <v>280</v>
      </c>
      <c r="G340" s="49" t="s">
        <v>85</v>
      </c>
      <c r="H340" s="70">
        <f>F340*(E309)</f>
        <v>0</v>
      </c>
    </row>
    <row r="341" spans="1:11" x14ac:dyDescent="0.25">
      <c r="A341" s="38"/>
      <c r="B341" s="49" t="s">
        <v>86</v>
      </c>
      <c r="C341" s="49" t="s">
        <v>87</v>
      </c>
      <c r="D341" s="67">
        <f>+D306</f>
        <v>189.27236842105265</v>
      </c>
      <c r="E341" s="32" t="s">
        <v>88</v>
      </c>
      <c r="F341" s="68">
        <v>35000</v>
      </c>
      <c r="G341" s="49" t="s">
        <v>89</v>
      </c>
      <c r="H341" s="70">
        <f>+F341*D306</f>
        <v>6624532.8947368423</v>
      </c>
    </row>
    <row r="342" spans="1:11" x14ac:dyDescent="0.25">
      <c r="A342" s="38"/>
      <c r="B342" s="74" t="s">
        <v>90</v>
      </c>
      <c r="C342" s="74"/>
      <c r="D342" s="74"/>
      <c r="E342" s="74"/>
      <c r="F342" s="87">
        <v>0.2</v>
      </c>
      <c r="G342" s="74" t="s">
        <v>91</v>
      </c>
      <c r="H342" s="77">
        <f>ROUND((H339+H340)*F342,-5)</f>
        <v>12400000</v>
      </c>
    </row>
    <row r="343" spans="1:11" x14ac:dyDescent="0.25">
      <c r="A343" s="38"/>
      <c r="B343" s="49"/>
      <c r="C343" s="49"/>
      <c r="D343" s="49"/>
      <c r="E343" s="49"/>
      <c r="F343" s="49"/>
      <c r="G343" s="93" t="s">
        <v>78</v>
      </c>
      <c r="H343" s="70">
        <f>ROUND(SUM(H337:H342),-5)</f>
        <v>84300000</v>
      </c>
    </row>
    <row r="344" spans="1:11" x14ac:dyDescent="0.25">
      <c r="A344" s="38"/>
      <c r="B344" s="49"/>
      <c r="C344" s="49"/>
      <c r="D344" s="49"/>
      <c r="E344" s="49"/>
      <c r="F344" s="49"/>
      <c r="G344" s="93" t="s">
        <v>80</v>
      </c>
      <c r="H344" s="70">
        <f>+H343/(E308+E309)</f>
        <v>351.62360007507976</v>
      </c>
    </row>
    <row r="345" spans="1:11" x14ac:dyDescent="0.25">
      <c r="A345" s="38"/>
      <c r="B345" s="49"/>
      <c r="C345" s="49"/>
      <c r="D345" s="49"/>
      <c r="E345" s="49"/>
      <c r="F345" s="49"/>
      <c r="G345" s="93" t="s">
        <v>59</v>
      </c>
      <c r="H345" s="70">
        <f>+H343/H286</f>
        <v>334042.42007132579</v>
      </c>
    </row>
    <row r="346" spans="1:11" x14ac:dyDescent="0.25">
      <c r="A346" s="38"/>
      <c r="B346" s="49"/>
      <c r="C346" s="49"/>
      <c r="D346" s="49"/>
      <c r="E346" s="49"/>
      <c r="F346" s="49"/>
      <c r="G346" s="49"/>
      <c r="H346" s="70"/>
    </row>
    <row r="347" spans="1:11" ht="18.75" x14ac:dyDescent="0.3">
      <c r="A347" s="100" t="s">
        <v>92</v>
      </c>
      <c r="B347" s="49"/>
      <c r="C347" s="49"/>
      <c r="D347" s="49"/>
      <c r="E347" s="93" t="s">
        <v>93</v>
      </c>
      <c r="F347" s="80">
        <f>+H327/H343</f>
        <v>6.0788559142118101E-2</v>
      </c>
      <c r="G347" s="93" t="s">
        <v>94</v>
      </c>
      <c r="H347" s="70">
        <f>+H331-H343</f>
        <v>18200000</v>
      </c>
    </row>
    <row r="348" spans="1:11" ht="15.75" thickBot="1" x14ac:dyDescent="0.3">
      <c r="A348" s="101"/>
      <c r="B348" s="102"/>
      <c r="C348" s="102"/>
      <c r="D348" s="103"/>
      <c r="E348" s="103"/>
      <c r="F348" s="103"/>
      <c r="G348" s="102"/>
      <c r="H348" s="104"/>
    </row>
    <row r="349" spans="1:11" ht="15.75" thickBot="1" x14ac:dyDescent="0.3">
      <c r="A349" s="38"/>
      <c r="B349" s="49"/>
      <c r="C349" s="49"/>
      <c r="D349" s="32"/>
      <c r="E349" s="32"/>
      <c r="F349" s="32"/>
      <c r="G349" s="49"/>
      <c r="H349" s="70"/>
    </row>
    <row r="350" spans="1:11" ht="18.75" x14ac:dyDescent="0.3">
      <c r="A350" s="3" t="s">
        <v>7</v>
      </c>
      <c r="B350" s="4"/>
      <c r="C350" s="5" t="s">
        <v>8</v>
      </c>
      <c r="D350" s="6" t="s">
        <v>9</v>
      </c>
      <c r="E350" s="7"/>
      <c r="F350" s="7"/>
      <c r="G350" s="8" t="s">
        <v>10</v>
      </c>
      <c r="H350" s="25" t="s">
        <v>11</v>
      </c>
    </row>
    <row r="351" spans="1:11" ht="18.75" x14ac:dyDescent="0.3">
      <c r="A351" s="26" t="s">
        <v>12</v>
      </c>
      <c r="B351" s="27"/>
      <c r="C351" s="11"/>
      <c r="D351" s="28" t="s">
        <v>1</v>
      </c>
      <c r="E351" s="12" t="s">
        <v>13</v>
      </c>
      <c r="F351" s="29">
        <v>1</v>
      </c>
      <c r="G351" s="30" t="s">
        <v>14</v>
      </c>
      <c r="H351" s="31">
        <v>38850</v>
      </c>
    </row>
    <row r="352" spans="1:11" ht="18.75" x14ac:dyDescent="0.3">
      <c r="A352" s="26" t="s">
        <v>105</v>
      </c>
      <c r="B352" s="27"/>
      <c r="C352" s="32"/>
      <c r="D352" s="11" t="s">
        <v>16</v>
      </c>
      <c r="E352" s="12"/>
      <c r="F352" s="33"/>
      <c r="G352" s="14" t="s">
        <v>4</v>
      </c>
      <c r="H352" s="15">
        <f>H353/H351</f>
        <v>6.3640926640926638</v>
      </c>
      <c r="I352" s="148" t="s">
        <v>138</v>
      </c>
      <c r="J352" s="146"/>
      <c r="K352" s="144" t="s">
        <v>139</v>
      </c>
    </row>
    <row r="353" spans="1:13" ht="19.5" thickBot="1" x14ac:dyDescent="0.35">
      <c r="A353" s="34" t="s">
        <v>17</v>
      </c>
      <c r="B353" s="35"/>
      <c r="C353" s="36"/>
      <c r="D353" s="11" t="s">
        <v>18</v>
      </c>
      <c r="E353" s="17"/>
      <c r="F353" s="17"/>
      <c r="G353" s="37" t="s">
        <v>19</v>
      </c>
      <c r="H353" s="31">
        <v>247245</v>
      </c>
      <c r="I353" s="145">
        <f>H351*2</f>
        <v>77700</v>
      </c>
      <c r="J353" s="146" t="s">
        <v>137</v>
      </c>
      <c r="K353" s="144">
        <f>I353/G354</f>
        <v>81.78947368421052</v>
      </c>
      <c r="M353" s="1" t="s">
        <v>106</v>
      </c>
    </row>
    <row r="354" spans="1:13" ht="18.75" x14ac:dyDescent="0.3">
      <c r="A354" s="38"/>
      <c r="B354" s="32"/>
      <c r="C354" s="36"/>
      <c r="D354" s="11" t="s">
        <v>5</v>
      </c>
      <c r="E354" s="17"/>
      <c r="F354" s="17"/>
      <c r="G354" s="18">
        <f>G286</f>
        <v>950</v>
      </c>
      <c r="H354" s="39">
        <f>H353/G354</f>
        <v>260.2578947368421</v>
      </c>
      <c r="I354" s="145">
        <f>H353-I353</f>
        <v>169545</v>
      </c>
      <c r="J354" s="147" t="s">
        <v>140</v>
      </c>
      <c r="K354" s="144">
        <f>I354/G354</f>
        <v>178.46842105263158</v>
      </c>
      <c r="M354" s="112">
        <f>H150+H218+H286+H354</f>
        <v>1568.4526315789471</v>
      </c>
    </row>
    <row r="355" spans="1:13" ht="18.75" x14ac:dyDescent="0.3">
      <c r="A355" s="38"/>
      <c r="B355" s="32"/>
      <c r="C355" s="1"/>
      <c r="D355" s="11" t="s">
        <v>20</v>
      </c>
      <c r="E355" s="17"/>
      <c r="F355" s="17"/>
      <c r="G355" s="41"/>
      <c r="H355" s="42">
        <v>0.75</v>
      </c>
      <c r="I355" s="143"/>
      <c r="J355" s="143"/>
      <c r="K355" s="144">
        <f>SUM(K353:K354)</f>
        <v>260.2578947368421</v>
      </c>
      <c r="M355" s="16"/>
    </row>
    <row r="356" spans="1:13" ht="18.75" x14ac:dyDescent="0.3">
      <c r="A356" s="38"/>
      <c r="B356" s="32"/>
      <c r="C356" s="21" t="s">
        <v>21</v>
      </c>
      <c r="D356" s="21" t="s">
        <v>101</v>
      </c>
      <c r="E356" s="22"/>
      <c r="F356" s="22"/>
      <c r="G356" s="21"/>
      <c r="H356" s="141">
        <f>K353*0.13</f>
        <v>10.632631578947368</v>
      </c>
      <c r="I356" s="44">
        <f>H354*0.2</f>
        <v>52.051578947368426</v>
      </c>
      <c r="M356" s="20">
        <f>H152+H220+H288+H356</f>
        <v>103.49877894736842</v>
      </c>
    </row>
    <row r="357" spans="1:13" ht="18.75" x14ac:dyDescent="0.3">
      <c r="A357" s="38"/>
      <c r="B357" s="32"/>
      <c r="C357" s="45"/>
      <c r="D357" s="21" t="s">
        <v>102</v>
      </c>
      <c r="E357" s="22"/>
      <c r="F357" s="22"/>
      <c r="G357" s="21"/>
      <c r="H357" s="141">
        <v>46</v>
      </c>
      <c r="I357" s="1"/>
      <c r="M357" s="20">
        <f>H153+H221+H289+H357</f>
        <v>212.74374736842105</v>
      </c>
    </row>
    <row r="358" spans="1:13" ht="18.75" x14ac:dyDescent="0.3">
      <c r="A358" s="38"/>
      <c r="B358" s="32"/>
      <c r="C358" s="45"/>
      <c r="D358" s="21" t="s">
        <v>23</v>
      </c>
      <c r="E358" s="22"/>
      <c r="F358" s="22"/>
      <c r="G358" s="21"/>
      <c r="H358" s="141">
        <f>SUM(H356:H357)</f>
        <v>56.632631578947368</v>
      </c>
      <c r="I358" s="1"/>
      <c r="J358" s="140">
        <f>K353*0.13+K354*0.28</f>
        <v>60.603789473684216</v>
      </c>
      <c r="K358" s="140">
        <f>(K353*0.13)+(K354*0.3)</f>
        <v>64.173157894736846</v>
      </c>
      <c r="M358" s="20">
        <f>H154+H222+H290+H358</f>
        <v>316.24252631578946</v>
      </c>
    </row>
    <row r="359" spans="1:13" ht="18.75" x14ac:dyDescent="0.3">
      <c r="A359" s="38"/>
      <c r="B359" s="32"/>
      <c r="C359" s="1"/>
      <c r="D359" s="21" t="s">
        <v>24</v>
      </c>
      <c r="E359" s="22"/>
      <c r="F359" s="22"/>
      <c r="G359" s="21"/>
      <c r="H359" s="46">
        <f>H358/H354</f>
        <v>0.21760197375073309</v>
      </c>
      <c r="I359" s="1"/>
      <c r="M359" s="16"/>
    </row>
    <row r="360" spans="1:13" ht="18.75" x14ac:dyDescent="0.3">
      <c r="A360" s="38"/>
      <c r="B360" s="32"/>
      <c r="C360" s="45"/>
      <c r="D360" s="21" t="s">
        <v>17</v>
      </c>
      <c r="E360" s="22"/>
      <c r="F360" s="22"/>
      <c r="G360" s="21"/>
      <c r="H360" s="47"/>
      <c r="I360" s="1"/>
      <c r="M360" s="16"/>
    </row>
    <row r="361" spans="1:13" ht="19.5" thickBot="1" x14ac:dyDescent="0.35">
      <c r="A361" s="38"/>
      <c r="B361" s="32"/>
      <c r="C361" s="36"/>
      <c r="D361" s="21" t="s">
        <v>98</v>
      </c>
      <c r="E361" s="22"/>
      <c r="F361" s="22"/>
      <c r="G361" s="21"/>
      <c r="H361" s="23">
        <v>4</v>
      </c>
      <c r="I361" s="110">
        <f>J358-H358</f>
        <v>3.971157894736848</v>
      </c>
      <c r="M361" s="113">
        <f>H157+H225+H293+H361</f>
        <v>4</v>
      </c>
    </row>
    <row r="362" spans="1:13" ht="18.75" x14ac:dyDescent="0.3">
      <c r="A362" s="38"/>
      <c r="B362" s="32"/>
      <c r="C362" s="36"/>
      <c r="D362" s="21" t="s">
        <v>27</v>
      </c>
      <c r="E362" s="22"/>
      <c r="F362" s="22"/>
      <c r="G362" s="21"/>
      <c r="H362" s="48">
        <v>300000</v>
      </c>
      <c r="I362" s="1"/>
      <c r="J362" s="1"/>
    </row>
    <row r="363" spans="1:13" ht="19.5" thickBot="1" x14ac:dyDescent="0.35">
      <c r="A363" s="38"/>
      <c r="B363" s="32"/>
      <c r="C363" s="49"/>
      <c r="D363" s="45"/>
      <c r="E363" s="45"/>
      <c r="F363" s="49"/>
      <c r="G363" s="45"/>
      <c r="H363" s="50"/>
      <c r="I363" s="1"/>
      <c r="J363" s="1"/>
    </row>
    <row r="364" spans="1:13" ht="19.5" thickBot="1" x14ac:dyDescent="0.35">
      <c r="A364" s="38"/>
      <c r="B364" s="32"/>
      <c r="C364" s="51" t="s">
        <v>28</v>
      </c>
      <c r="D364" s="51" t="s">
        <v>29</v>
      </c>
      <c r="E364" s="52"/>
      <c r="F364" s="53">
        <v>6.0999999999999999E-2</v>
      </c>
      <c r="G364" s="54" t="s">
        <v>30</v>
      </c>
      <c r="H364" s="55">
        <f>+F415</f>
        <v>6.0517579904472249E-2</v>
      </c>
      <c r="I364" s="1"/>
      <c r="J364" s="1"/>
    </row>
    <row r="365" spans="1:13" ht="18.75" x14ac:dyDescent="0.3">
      <c r="A365" s="38"/>
      <c r="B365" s="32"/>
      <c r="C365" s="36"/>
      <c r="D365" s="51" t="s">
        <v>31</v>
      </c>
      <c r="E365" s="52"/>
      <c r="F365" s="56">
        <f>F297</f>
        <v>3.65</v>
      </c>
      <c r="G365" s="51" t="s">
        <v>32</v>
      </c>
      <c r="H365" s="57"/>
      <c r="I365" s="1"/>
      <c r="J365" s="1"/>
    </row>
    <row r="366" spans="1:13" ht="19.5" thickBot="1" x14ac:dyDescent="0.35">
      <c r="A366" s="38"/>
      <c r="B366" s="32"/>
      <c r="C366" s="32"/>
      <c r="D366" s="36"/>
      <c r="E366" s="45"/>
      <c r="F366" s="49"/>
      <c r="G366" s="45"/>
      <c r="H366" s="58"/>
      <c r="I366" s="1"/>
      <c r="J366" s="1"/>
    </row>
    <row r="367" spans="1:13" ht="18.75" x14ac:dyDescent="0.3">
      <c r="A367" s="59" t="s">
        <v>33</v>
      </c>
      <c r="B367" s="60"/>
      <c r="C367" s="60"/>
      <c r="D367" s="60"/>
      <c r="E367" s="60"/>
      <c r="F367" s="60"/>
      <c r="G367" s="60"/>
      <c r="H367" s="61"/>
      <c r="I367" s="1"/>
      <c r="J367" s="1"/>
    </row>
    <row r="368" spans="1:13" ht="30" x14ac:dyDescent="0.25">
      <c r="A368" s="62" t="s">
        <v>34</v>
      </c>
      <c r="B368" s="63"/>
      <c r="C368" s="63"/>
      <c r="D368" s="64" t="s">
        <v>35</v>
      </c>
      <c r="E368" s="64" t="s">
        <v>36</v>
      </c>
      <c r="F368" s="64" t="s">
        <v>37</v>
      </c>
      <c r="G368" s="64" t="s">
        <v>38</v>
      </c>
      <c r="H368" s="65" t="s">
        <v>39</v>
      </c>
      <c r="I368" s="1"/>
      <c r="J368" s="1"/>
    </row>
    <row r="369" spans="1:8" x14ac:dyDescent="0.25">
      <c r="A369" s="38"/>
      <c r="B369" s="49" t="s">
        <v>40</v>
      </c>
      <c r="C369" s="49" t="s">
        <v>41</v>
      </c>
      <c r="D369" s="66">
        <f>ROUND(H354-D370-D371,0)</f>
        <v>204</v>
      </c>
      <c r="E369" s="67">
        <v>810</v>
      </c>
      <c r="F369" s="68">
        <f>+G369*E369</f>
        <v>2956.5</v>
      </c>
      <c r="G369" s="69">
        <f>F365</f>
        <v>3.65</v>
      </c>
      <c r="H369" s="70">
        <f>+D369*F369*12</f>
        <v>7237512</v>
      </c>
    </row>
    <row r="370" spans="1:8" x14ac:dyDescent="0.25">
      <c r="A370" s="38"/>
      <c r="B370" s="71" t="s">
        <v>42</v>
      </c>
      <c r="C370" s="49" t="s">
        <v>43</v>
      </c>
      <c r="D370" s="66">
        <f>H356</f>
        <v>10.632631578947368</v>
      </c>
      <c r="E370" s="67">
        <v>810</v>
      </c>
      <c r="F370" s="68">
        <v>1098.26</v>
      </c>
      <c r="G370" s="72">
        <f>IF(H370=0,0,+H370/(E370*D370)/12)</f>
        <v>1.3558765432098767</v>
      </c>
      <c r="H370" s="70">
        <f>+F370*D370*12</f>
        <v>140128.72749473684</v>
      </c>
    </row>
    <row r="371" spans="1:8" x14ac:dyDescent="0.25">
      <c r="A371" s="38"/>
      <c r="B371" s="71" t="s">
        <v>44</v>
      </c>
      <c r="C371" s="49" t="s">
        <v>45</v>
      </c>
      <c r="D371" s="66">
        <f>H357</f>
        <v>46</v>
      </c>
      <c r="E371" s="67">
        <v>810</v>
      </c>
      <c r="F371" s="68">
        <v>784.93925925925919</v>
      </c>
      <c r="G371" s="73">
        <f>IF(H371=0,0,+H371/(E371*D371)/12)</f>
        <v>0.96906081390032017</v>
      </c>
      <c r="H371" s="70">
        <f>+F371*D371*12</f>
        <v>433286.47111111111</v>
      </c>
    </row>
    <row r="372" spans="1:8" x14ac:dyDescent="0.25">
      <c r="A372" s="38"/>
      <c r="B372" s="49" t="s">
        <v>46</v>
      </c>
      <c r="C372" s="49" t="s">
        <v>47</v>
      </c>
      <c r="D372" s="67">
        <v>0</v>
      </c>
      <c r="E372" s="67">
        <v>0</v>
      </c>
      <c r="F372" s="73">
        <v>0</v>
      </c>
      <c r="G372" s="73">
        <v>0</v>
      </c>
      <c r="H372" s="70">
        <f>+G372*E372*D372</f>
        <v>0</v>
      </c>
    </row>
    <row r="373" spans="1:8" x14ac:dyDescent="0.25">
      <c r="A373" s="38"/>
      <c r="B373" s="49"/>
      <c r="C373" s="49" t="s">
        <v>48</v>
      </c>
      <c r="D373" s="67">
        <v>0</v>
      </c>
      <c r="E373" s="67">
        <v>5000</v>
      </c>
      <c r="F373" s="73">
        <f>+G373/12</f>
        <v>0</v>
      </c>
      <c r="G373" s="73">
        <v>0</v>
      </c>
      <c r="H373" s="70">
        <f>+G373*E373*D373</f>
        <v>0</v>
      </c>
    </row>
    <row r="374" spans="1:8" x14ac:dyDescent="0.25">
      <c r="A374" s="38"/>
      <c r="B374" s="74" t="s">
        <v>49</v>
      </c>
      <c r="C374" s="74"/>
      <c r="D374" s="75">
        <f>+H354*H355</f>
        <v>195.19342105263158</v>
      </c>
      <c r="E374" s="76"/>
      <c r="F374" s="76"/>
      <c r="G374" s="76">
        <v>250</v>
      </c>
      <c r="H374" s="77">
        <f>+D374*G374*12</f>
        <v>585580.26315789472</v>
      </c>
    </row>
    <row r="375" spans="1:8" x14ac:dyDescent="0.25">
      <c r="A375" s="38"/>
      <c r="B375" s="49" t="s">
        <v>50</v>
      </c>
      <c r="C375" s="49"/>
      <c r="D375" s="66">
        <f>+H354</f>
        <v>260.2578947368421</v>
      </c>
      <c r="E375" s="67">
        <f>(E369*D369)+(E370*D370)</f>
        <v>173852.43157894738</v>
      </c>
      <c r="F375" s="73"/>
      <c r="G375" s="68"/>
      <c r="H375" s="70">
        <f>SUM(H369:H374)</f>
        <v>8396507.4617637433</v>
      </c>
    </row>
    <row r="376" spans="1:8" x14ac:dyDescent="0.25">
      <c r="A376" s="38"/>
      <c r="B376" s="49" t="s">
        <v>51</v>
      </c>
      <c r="C376" s="49"/>
      <c r="D376" s="78">
        <v>0.85</v>
      </c>
      <c r="E376" s="67">
        <f>+H353</f>
        <v>247245</v>
      </c>
      <c r="F376" s="68"/>
      <c r="G376" s="68"/>
      <c r="H376" s="70"/>
    </row>
    <row r="377" spans="1:8" x14ac:dyDescent="0.25">
      <c r="A377" s="38"/>
      <c r="B377" s="49" t="s">
        <v>52</v>
      </c>
      <c r="C377" s="49"/>
      <c r="D377" s="78">
        <v>1</v>
      </c>
      <c r="E377" s="67">
        <f>(E372*D372)+(D373*E373)</f>
        <v>0</v>
      </c>
      <c r="F377" s="68"/>
      <c r="G377" s="68"/>
      <c r="H377" s="70"/>
    </row>
    <row r="378" spans="1:8" x14ac:dyDescent="0.25">
      <c r="A378" s="38"/>
      <c r="B378" s="49"/>
      <c r="C378" s="49"/>
      <c r="D378" s="67"/>
      <c r="E378" s="68"/>
      <c r="F378" s="68"/>
      <c r="G378" s="68"/>
      <c r="H378" s="70"/>
    </row>
    <row r="379" spans="1:8" ht="18.75" x14ac:dyDescent="0.3">
      <c r="A379" s="79" t="s">
        <v>53</v>
      </c>
      <c r="B379" s="49"/>
      <c r="C379" s="49" t="str">
        <f>+C369</f>
        <v>Market Rate</v>
      </c>
      <c r="D379" s="67"/>
      <c r="E379" s="68"/>
      <c r="F379" s="68"/>
      <c r="G379" s="80">
        <v>0.05</v>
      </c>
      <c r="H379" s="70">
        <f>-G379*H369</f>
        <v>-361875.60000000003</v>
      </c>
    </row>
    <row r="380" spans="1:8" ht="12.75" customHeight="1" x14ac:dyDescent="0.3">
      <c r="A380" s="79"/>
      <c r="B380" s="49"/>
      <c r="C380" s="49" t="str">
        <f>+C370</f>
        <v>Low Income</v>
      </c>
      <c r="D380" s="67"/>
      <c r="E380" s="68"/>
      <c r="F380" s="68"/>
      <c r="G380" s="80">
        <v>0</v>
      </c>
      <c r="H380" s="70">
        <f>-G380*H370</f>
        <v>0</v>
      </c>
    </row>
    <row r="381" spans="1:8" ht="12.75" customHeight="1" x14ac:dyDescent="0.3">
      <c r="A381" s="79"/>
      <c r="B381" s="49"/>
      <c r="C381" s="49" t="str">
        <f>+C372</f>
        <v>Market Rate Retail</v>
      </c>
      <c r="D381" s="67"/>
      <c r="E381" s="68"/>
      <c r="F381" s="68"/>
      <c r="G381" s="80">
        <v>0.1</v>
      </c>
      <c r="H381" s="70">
        <f>-G381*H372</f>
        <v>0</v>
      </c>
    </row>
    <row r="382" spans="1:8" x14ac:dyDescent="0.25">
      <c r="A382" s="38"/>
      <c r="B382" s="74"/>
      <c r="C382" s="74" t="str">
        <f>+C373</f>
        <v>Affordable Innovation</v>
      </c>
      <c r="D382" s="75"/>
      <c r="E382" s="76"/>
      <c r="F382" s="76"/>
      <c r="G382" s="81">
        <v>0.2</v>
      </c>
      <c r="H382" s="77">
        <f>-G382*H373</f>
        <v>0</v>
      </c>
    </row>
    <row r="383" spans="1:8" x14ac:dyDescent="0.25">
      <c r="A383" s="38"/>
      <c r="B383" s="49" t="s">
        <v>54</v>
      </c>
      <c r="C383" s="49"/>
      <c r="D383" s="67"/>
      <c r="E383" s="68"/>
      <c r="F383" s="68"/>
      <c r="G383" s="80"/>
      <c r="H383" s="70">
        <f>SUM(H379:H382)</f>
        <v>-361875.60000000003</v>
      </c>
    </row>
    <row r="384" spans="1:8" s="83" customFormat="1" ht="18.75" x14ac:dyDescent="0.3">
      <c r="A384" s="82"/>
      <c r="C384" s="45"/>
      <c r="D384" s="49"/>
      <c r="E384" s="49"/>
      <c r="F384" s="84"/>
      <c r="G384" s="85"/>
      <c r="H384" s="70"/>
    </row>
    <row r="385" spans="1:11" ht="18.75" x14ac:dyDescent="0.3">
      <c r="A385" s="79" t="s">
        <v>55</v>
      </c>
      <c r="B385" s="49"/>
      <c r="C385" s="49"/>
      <c r="D385" s="67"/>
      <c r="E385" s="68"/>
      <c r="F385" s="68"/>
      <c r="G385" s="68"/>
      <c r="H385" s="70">
        <f>+H375+H383</f>
        <v>8034631.8617637437</v>
      </c>
      <c r="I385" s="1"/>
      <c r="J385" s="1"/>
      <c r="K385" s="1"/>
    </row>
    <row r="386" spans="1:11" x14ac:dyDescent="0.25">
      <c r="A386" s="38"/>
      <c r="B386" s="49"/>
      <c r="C386" s="49"/>
      <c r="D386" s="67"/>
      <c r="E386" s="68"/>
      <c r="F386" s="68"/>
      <c r="G386" s="68"/>
      <c r="H386" s="70"/>
      <c r="I386" s="1"/>
      <c r="J386" s="1"/>
      <c r="K386" s="1"/>
    </row>
    <row r="387" spans="1:11" ht="18.75" x14ac:dyDescent="0.3">
      <c r="A387" s="79" t="s">
        <v>56</v>
      </c>
      <c r="B387" s="49"/>
      <c r="C387" s="49"/>
      <c r="D387" s="49"/>
      <c r="E387" s="49"/>
      <c r="F387" s="49"/>
      <c r="G387" s="49"/>
      <c r="H387" s="70"/>
      <c r="I387" s="1"/>
      <c r="J387" s="1"/>
      <c r="K387" s="1"/>
    </row>
    <row r="388" spans="1:11" x14ac:dyDescent="0.25">
      <c r="A388" s="38"/>
      <c r="B388" s="49" t="s">
        <v>57</v>
      </c>
      <c r="C388" s="49" t="s">
        <v>58</v>
      </c>
      <c r="D388" s="49"/>
      <c r="E388" s="49"/>
      <c r="F388" s="68">
        <v>7500</v>
      </c>
      <c r="G388" s="68" t="s">
        <v>59</v>
      </c>
      <c r="H388" s="70">
        <f>-F388*D375</f>
        <v>-1951934.2105263157</v>
      </c>
      <c r="I388" s="1"/>
      <c r="J388" s="1"/>
      <c r="K388" s="1"/>
    </row>
    <row r="389" spans="1:11" x14ac:dyDescent="0.25">
      <c r="A389" s="38"/>
      <c r="B389" s="49"/>
      <c r="C389" s="49" t="s">
        <v>60</v>
      </c>
      <c r="D389" s="78">
        <v>7.0000000000000007E-2</v>
      </c>
      <c r="E389" s="49" t="s">
        <v>61</v>
      </c>
      <c r="F389" s="68">
        <f>ROUND(-H389/D375,-2)</f>
        <v>2100</v>
      </c>
      <c r="G389" s="68" t="s">
        <v>59</v>
      </c>
      <c r="H389" s="70">
        <f>(H369+H370+H374)*-D389</f>
        <v>-557425.46934568428</v>
      </c>
      <c r="I389" s="1"/>
      <c r="J389" s="1"/>
      <c r="K389" s="1"/>
    </row>
    <row r="390" spans="1:11" x14ac:dyDescent="0.25">
      <c r="A390" s="38"/>
      <c r="B390" s="49"/>
      <c r="C390" s="49" t="s">
        <v>62</v>
      </c>
      <c r="D390" s="80">
        <v>2.5000000000000001E-2</v>
      </c>
      <c r="E390" s="49" t="s">
        <v>63</v>
      </c>
      <c r="F390" s="68">
        <f>-H390/D375</f>
        <v>726.68880503791786</v>
      </c>
      <c r="G390" s="68" t="s">
        <v>59</v>
      </c>
      <c r="H390" s="70">
        <f>-D390*((H369+H370+H374)*(1-G379))</f>
        <v>-189126.498528</v>
      </c>
      <c r="I390" s="1"/>
      <c r="J390" s="1"/>
      <c r="K390" s="1"/>
    </row>
    <row r="391" spans="1:11" x14ac:dyDescent="0.25">
      <c r="A391" s="38"/>
      <c r="B391" s="49"/>
      <c r="C391" s="49" t="s">
        <v>64</v>
      </c>
      <c r="D391" s="49"/>
      <c r="E391" s="49"/>
      <c r="F391" s="68">
        <v>250</v>
      </c>
      <c r="G391" s="68" t="s">
        <v>59</v>
      </c>
      <c r="H391" s="70">
        <f>-F391*D375</f>
        <v>-65064.473684210527</v>
      </c>
      <c r="I391" s="1"/>
      <c r="J391" s="1"/>
      <c r="K391" s="1"/>
    </row>
    <row r="392" spans="1:11" x14ac:dyDescent="0.25">
      <c r="A392" s="38"/>
      <c r="B392" s="74" t="s">
        <v>46</v>
      </c>
      <c r="C392" s="86" t="s">
        <v>65</v>
      </c>
      <c r="D392" s="74"/>
      <c r="E392" s="74"/>
      <c r="F392" s="87">
        <v>0.02</v>
      </c>
      <c r="G392" s="74" t="s">
        <v>66</v>
      </c>
      <c r="H392" s="77">
        <f>-F392*(H372+H373)</f>
        <v>0</v>
      </c>
      <c r="I392" s="1"/>
      <c r="J392" s="1"/>
      <c r="K392" s="1"/>
    </row>
    <row r="393" spans="1:11" x14ac:dyDescent="0.25">
      <c r="A393" s="38"/>
      <c r="B393" s="49" t="s">
        <v>67</v>
      </c>
      <c r="C393" s="49"/>
      <c r="D393" s="78">
        <f>-H393/H385</f>
        <v>0.34395485687847832</v>
      </c>
      <c r="E393" s="68" t="s">
        <v>68</v>
      </c>
      <c r="F393" s="68">
        <f>-H393/D375</f>
        <v>10618.508440939149</v>
      </c>
      <c r="G393" s="68" t="s">
        <v>59</v>
      </c>
      <c r="H393" s="70">
        <f>SUM(H388:H392)</f>
        <v>-2763550.6520842104</v>
      </c>
      <c r="I393" s="1"/>
      <c r="J393" s="1"/>
      <c r="K393" s="1"/>
    </row>
    <row r="394" spans="1:11" ht="15.75" thickBot="1" x14ac:dyDescent="0.3">
      <c r="A394" s="38"/>
      <c r="B394" s="49"/>
      <c r="C394" s="49"/>
      <c r="D394" s="49"/>
      <c r="E394" s="32"/>
      <c r="F394" s="49"/>
      <c r="G394" s="49"/>
      <c r="H394" s="70"/>
      <c r="I394" s="1"/>
      <c r="J394" s="1"/>
      <c r="K394" s="1"/>
    </row>
    <row r="395" spans="1:11" ht="18.75" x14ac:dyDescent="0.3">
      <c r="A395" s="79" t="s">
        <v>69</v>
      </c>
      <c r="B395" s="49"/>
      <c r="C395" s="49"/>
      <c r="D395" s="78">
        <f>+H395/H385</f>
        <v>0.65604514312152162</v>
      </c>
      <c r="E395" s="68" t="s">
        <v>68</v>
      </c>
      <c r="F395" s="68">
        <f>+H395/D375</f>
        <v>20253.299962367513</v>
      </c>
      <c r="G395" s="68" t="s">
        <v>59</v>
      </c>
      <c r="H395" s="70">
        <f>+H385+H393</f>
        <v>5271081.2096795328</v>
      </c>
      <c r="I395" s="1"/>
      <c r="J395" s="88">
        <f>+H395/1.25</f>
        <v>4216864.9677436259</v>
      </c>
      <c r="K395" s="89" t="s">
        <v>70</v>
      </c>
    </row>
    <row r="396" spans="1:11" x14ac:dyDescent="0.25">
      <c r="A396" s="38"/>
      <c r="B396" s="49"/>
      <c r="C396" s="49"/>
      <c r="D396" s="49"/>
      <c r="E396" s="49"/>
      <c r="F396" s="49"/>
      <c r="G396" s="49"/>
      <c r="H396" s="70"/>
      <c r="I396" s="1"/>
      <c r="J396" s="90">
        <f>-J395/(PMT(0.04/12,30*12,1)*12)</f>
        <v>73605813.914284065</v>
      </c>
      <c r="K396" s="91" t="s">
        <v>71</v>
      </c>
    </row>
    <row r="397" spans="1:11" ht="18.75" x14ac:dyDescent="0.3">
      <c r="A397" s="79" t="s">
        <v>72</v>
      </c>
      <c r="B397" s="49"/>
      <c r="C397" s="49"/>
      <c r="D397" s="49"/>
      <c r="E397" s="49"/>
      <c r="F397" s="49"/>
      <c r="G397" s="49"/>
      <c r="H397" s="70"/>
      <c r="I397" s="1"/>
      <c r="J397" s="92">
        <f>+H411-J396</f>
        <v>13494186.085715935</v>
      </c>
      <c r="K397" s="91" t="s">
        <v>73</v>
      </c>
    </row>
    <row r="398" spans="1:11" x14ac:dyDescent="0.25">
      <c r="A398" s="38"/>
      <c r="B398" s="49" t="s">
        <v>74</v>
      </c>
      <c r="C398" s="49"/>
      <c r="D398" s="49"/>
      <c r="E398" s="93" t="s">
        <v>75</v>
      </c>
      <c r="F398" s="94">
        <v>0.05</v>
      </c>
      <c r="G398" s="49" t="s">
        <v>76</v>
      </c>
      <c r="H398" s="70">
        <f>+H395/F398</f>
        <v>105421624.19359066</v>
      </c>
      <c r="I398" s="1"/>
      <c r="J398" s="92">
        <f>+H395-J395</f>
        <v>1054216.2419359069</v>
      </c>
      <c r="K398" s="91" t="s">
        <v>77</v>
      </c>
    </row>
    <row r="399" spans="1:11" ht="15.75" thickBot="1" x14ac:dyDescent="0.3">
      <c r="A399" s="38"/>
      <c r="B399" s="49"/>
      <c r="C399" s="49"/>
      <c r="D399" s="49"/>
      <c r="E399" s="49"/>
      <c r="F399" s="49"/>
      <c r="G399" s="93" t="s">
        <v>78</v>
      </c>
      <c r="H399" s="70">
        <f>ROUND(H398,-5)</f>
        <v>105400000</v>
      </c>
      <c r="I399" s="1"/>
      <c r="J399" s="95">
        <f>+J398/J397</f>
        <v>7.8123736788529352E-2</v>
      </c>
      <c r="K399" s="96" t="s">
        <v>79</v>
      </c>
    </row>
    <row r="400" spans="1:11" x14ac:dyDescent="0.25">
      <c r="A400" s="38"/>
      <c r="B400" s="49"/>
      <c r="C400" s="49"/>
      <c r="D400" s="49"/>
      <c r="E400" s="49"/>
      <c r="F400" s="49"/>
      <c r="G400" s="93" t="s">
        <v>80</v>
      </c>
      <c r="H400" s="70">
        <f>+H399/E376</f>
        <v>426.29780177556677</v>
      </c>
      <c r="I400" s="1"/>
      <c r="J400" s="1"/>
      <c r="K400" s="1"/>
    </row>
    <row r="401" spans="1:11" x14ac:dyDescent="0.25">
      <c r="A401" s="38"/>
      <c r="B401" s="49"/>
      <c r="C401" s="49"/>
      <c r="D401" s="49"/>
      <c r="E401" s="49"/>
      <c r="F401" s="49"/>
      <c r="G401" s="93" t="s">
        <v>59</v>
      </c>
      <c r="H401" s="70">
        <f>+H399/D375</f>
        <v>404982.91168678843</v>
      </c>
      <c r="I401" s="1"/>
      <c r="J401" s="1">
        <v>646091.59779614327</v>
      </c>
      <c r="K401" s="2">
        <f>+J401-H401</f>
        <v>241108.68610935484</v>
      </c>
    </row>
    <row r="402" spans="1:11" x14ac:dyDescent="0.25">
      <c r="A402" s="97"/>
      <c r="B402" s="74"/>
      <c r="C402" s="74"/>
      <c r="D402" s="74"/>
      <c r="E402" s="74"/>
      <c r="F402" s="74"/>
      <c r="G402" s="98"/>
      <c r="H402" s="77"/>
      <c r="I402" s="1"/>
      <c r="J402" s="1"/>
      <c r="K402" s="1"/>
    </row>
    <row r="403" spans="1:11" x14ac:dyDescent="0.25">
      <c r="A403" s="38"/>
      <c r="B403" s="49"/>
      <c r="C403" s="49"/>
      <c r="D403" s="49"/>
      <c r="E403" s="49"/>
      <c r="F403" s="94"/>
      <c r="G403" s="49"/>
      <c r="H403" s="70"/>
      <c r="I403" s="1"/>
      <c r="J403" s="1"/>
      <c r="K403" s="1"/>
    </row>
    <row r="404" spans="1:11" ht="19.5" thickBot="1" x14ac:dyDescent="0.35">
      <c r="A404" s="79" t="s">
        <v>81</v>
      </c>
      <c r="B404" s="49"/>
      <c r="C404" s="49"/>
      <c r="D404" s="49"/>
      <c r="E404" s="49"/>
      <c r="F404" s="49"/>
      <c r="G404" s="49"/>
      <c r="H404" s="70"/>
      <c r="I404" s="1"/>
      <c r="J404" s="1"/>
      <c r="K404" s="1"/>
    </row>
    <row r="405" spans="1:11" ht="19.5" thickBot="1" x14ac:dyDescent="0.35">
      <c r="A405" s="79"/>
      <c r="B405" s="49" t="s">
        <v>82</v>
      </c>
      <c r="C405" s="49"/>
      <c r="D405" s="68">
        <f>+H405/D375</f>
        <v>10449.250743189954</v>
      </c>
      <c r="E405" s="49" t="s">
        <v>59</v>
      </c>
      <c r="F405" s="73">
        <v>70</v>
      </c>
      <c r="G405" s="49" t="s">
        <v>83</v>
      </c>
      <c r="H405" s="99">
        <f>F405*H351</f>
        <v>2719500</v>
      </c>
      <c r="I405" s="1"/>
      <c r="J405" s="1"/>
      <c r="K405" s="1"/>
    </row>
    <row r="406" spans="1:11" ht="12.75" customHeight="1" x14ac:dyDescent="0.3">
      <c r="A406" s="79"/>
      <c r="B406" s="49" t="s">
        <v>84</v>
      </c>
      <c r="C406" s="49"/>
      <c r="D406" s="68">
        <v>300000</v>
      </c>
      <c r="E406" s="49" t="s">
        <v>59</v>
      </c>
      <c r="F406" s="67">
        <f>H361</f>
        <v>4</v>
      </c>
      <c r="G406" s="49" t="s">
        <v>35</v>
      </c>
      <c r="H406" s="70">
        <f>+F406*D406</f>
        <v>1200000</v>
      </c>
      <c r="I406" s="1"/>
      <c r="J406" s="1"/>
      <c r="K406" s="1"/>
    </row>
    <row r="407" spans="1:11" x14ac:dyDescent="0.25">
      <c r="A407" s="38"/>
      <c r="B407" s="49" t="s">
        <v>57</v>
      </c>
      <c r="C407" s="49"/>
      <c r="D407" s="49"/>
      <c r="E407" s="49"/>
      <c r="F407" s="73">
        <f>280*0.92</f>
        <v>257.60000000000002</v>
      </c>
      <c r="G407" s="49" t="s">
        <v>85</v>
      </c>
      <c r="H407" s="70">
        <f>+F407*E376</f>
        <v>63690312.000000007</v>
      </c>
      <c r="I407" s="1"/>
      <c r="J407" s="1"/>
      <c r="K407" s="1"/>
    </row>
    <row r="408" spans="1:11" x14ac:dyDescent="0.25">
      <c r="A408" s="38"/>
      <c r="B408" s="49" t="s">
        <v>46</v>
      </c>
      <c r="C408" s="49"/>
      <c r="D408" s="49"/>
      <c r="E408" s="49"/>
      <c r="F408" s="73">
        <v>280</v>
      </c>
      <c r="G408" s="49" t="s">
        <v>85</v>
      </c>
      <c r="H408" s="70">
        <f>F408*(E377)</f>
        <v>0</v>
      </c>
      <c r="I408" s="1"/>
      <c r="J408" s="1"/>
      <c r="K408" s="1"/>
    </row>
    <row r="409" spans="1:11" x14ac:dyDescent="0.25">
      <c r="A409" s="38"/>
      <c r="B409" s="49" t="s">
        <v>86</v>
      </c>
      <c r="C409" s="49" t="s">
        <v>87</v>
      </c>
      <c r="D409" s="67">
        <f>+D374</f>
        <v>195.19342105263158</v>
      </c>
      <c r="E409" s="32" t="s">
        <v>88</v>
      </c>
      <c r="F409" s="68">
        <v>35000</v>
      </c>
      <c r="G409" s="49" t="s">
        <v>89</v>
      </c>
      <c r="H409" s="70">
        <f>+F409*D374</f>
        <v>6831769.7368421052</v>
      </c>
      <c r="I409" s="1"/>
      <c r="J409" s="1"/>
      <c r="K409" s="1"/>
    </row>
    <row r="410" spans="1:11" x14ac:dyDescent="0.25">
      <c r="A410" s="38"/>
      <c r="B410" s="74" t="s">
        <v>90</v>
      </c>
      <c r="C410" s="74"/>
      <c r="D410" s="74"/>
      <c r="E410" s="74"/>
      <c r="F410" s="87">
        <v>0.2</v>
      </c>
      <c r="G410" s="74" t="s">
        <v>91</v>
      </c>
      <c r="H410" s="77">
        <f>ROUND((H407+H408)*F410,-5)</f>
        <v>12700000</v>
      </c>
      <c r="I410" s="1"/>
      <c r="J410" s="1"/>
      <c r="K410" s="1"/>
    </row>
    <row r="411" spans="1:11" x14ac:dyDescent="0.25">
      <c r="A411" s="38"/>
      <c r="B411" s="49"/>
      <c r="C411" s="49"/>
      <c r="D411" s="49"/>
      <c r="E411" s="49"/>
      <c r="F411" s="49"/>
      <c r="G411" s="93" t="s">
        <v>78</v>
      </c>
      <c r="H411" s="70">
        <f>ROUND(SUM(H405:H410),-5)</f>
        <v>87100000</v>
      </c>
      <c r="I411" s="1"/>
      <c r="J411" s="1"/>
      <c r="K411" s="1"/>
    </row>
    <row r="412" spans="1:11" x14ac:dyDescent="0.25">
      <c r="A412" s="38"/>
      <c r="B412" s="49"/>
      <c r="C412" s="49"/>
      <c r="D412" s="49"/>
      <c r="E412" s="49"/>
      <c r="F412" s="49"/>
      <c r="G412" s="93" t="s">
        <v>80</v>
      </c>
      <c r="H412" s="70">
        <f>+H411/(E376+E377)</f>
        <v>352.28214928512205</v>
      </c>
      <c r="I412" s="1"/>
      <c r="J412" s="1"/>
      <c r="K412" s="1"/>
    </row>
    <row r="413" spans="1:11" x14ac:dyDescent="0.25">
      <c r="A413" s="38"/>
      <c r="B413" s="49"/>
      <c r="C413" s="49"/>
      <c r="D413" s="49"/>
      <c r="E413" s="49"/>
      <c r="F413" s="49"/>
      <c r="G413" s="93" t="s">
        <v>59</v>
      </c>
      <c r="H413" s="70">
        <f>+H411/H354</f>
        <v>334668.04182086594</v>
      </c>
      <c r="I413" s="1"/>
      <c r="J413" s="1">
        <v>486340.6795224977</v>
      </c>
      <c r="K413" s="1"/>
    </row>
    <row r="414" spans="1:11" x14ac:dyDescent="0.25">
      <c r="A414" s="38"/>
      <c r="B414" s="49"/>
      <c r="C414" s="49"/>
      <c r="D414" s="49"/>
      <c r="E414" s="49"/>
      <c r="F414" s="49"/>
      <c r="G414" s="49"/>
      <c r="H414" s="70"/>
      <c r="I414" s="1"/>
      <c r="J414" s="1"/>
      <c r="K414" s="1"/>
    </row>
    <row r="415" spans="1:11" ht="18.75" x14ac:dyDescent="0.3">
      <c r="A415" s="100" t="s">
        <v>92</v>
      </c>
      <c r="B415" s="49"/>
      <c r="C415" s="49"/>
      <c r="D415" s="49"/>
      <c r="E415" s="93" t="s">
        <v>93</v>
      </c>
      <c r="F415" s="80">
        <f>+H395/H411</f>
        <v>6.0517579904472249E-2</v>
      </c>
      <c r="G415" s="93" t="s">
        <v>94</v>
      </c>
      <c r="H415" s="70">
        <f>+H399-H411</f>
        <v>18300000</v>
      </c>
      <c r="I415" s="1"/>
      <c r="J415" s="1"/>
      <c r="K415" s="1"/>
    </row>
    <row r="416" spans="1:11" ht="15.75" thickBot="1" x14ac:dyDescent="0.3">
      <c r="A416" s="101"/>
      <c r="B416" s="102"/>
      <c r="C416" s="102"/>
      <c r="D416" s="103"/>
      <c r="E416" s="103"/>
      <c r="F416" s="103"/>
      <c r="G416" s="102"/>
      <c r="H416" s="104"/>
      <c r="I416" s="1"/>
      <c r="J416" s="1"/>
      <c r="K416" s="1"/>
    </row>
    <row r="417" spans="1:10" ht="24.95" customHeight="1" x14ac:dyDescent="0.25">
      <c r="A417" s="32"/>
      <c r="B417" s="49"/>
      <c r="C417" s="49"/>
      <c r="D417" s="32"/>
      <c r="E417" s="32"/>
      <c r="F417" s="32"/>
      <c r="G417" s="49"/>
      <c r="H417" s="114"/>
      <c r="I417" s="1"/>
      <c r="J417" s="1"/>
    </row>
    <row r="418" spans="1:10" ht="18.95" customHeight="1" thickBot="1" x14ac:dyDescent="0.3">
      <c r="A418" s="115"/>
      <c r="B418" s="115"/>
      <c r="C418" s="115"/>
      <c r="D418" s="115"/>
      <c r="E418" s="115"/>
      <c r="F418" s="115"/>
      <c r="G418" s="115"/>
      <c r="H418" s="116"/>
      <c r="I418" s="1"/>
      <c r="J418" s="1"/>
    </row>
    <row r="419" spans="1:10" ht="15.75" x14ac:dyDescent="0.25">
      <c r="A419" s="1"/>
      <c r="B419" s="117" t="s">
        <v>107</v>
      </c>
      <c r="C419" s="118"/>
      <c r="D419" s="118"/>
      <c r="E419" s="118"/>
      <c r="F419" s="118"/>
      <c r="G419" s="118"/>
      <c r="H419" s="119">
        <f>H82+H150+H218+H286+H354+H4+H11</f>
        <v>2074.5</v>
      </c>
      <c r="I419" s="1"/>
      <c r="J419" s="120">
        <f>J4+J82+M354</f>
        <v>2074.5</v>
      </c>
    </row>
    <row r="420" spans="1:10" ht="15.75" x14ac:dyDescent="0.25">
      <c r="A420" s="1"/>
      <c r="B420" s="117" t="s">
        <v>108</v>
      </c>
      <c r="C420" s="118"/>
      <c r="D420" s="118"/>
      <c r="E420" s="118"/>
      <c r="F420" s="118"/>
      <c r="G420" s="118"/>
      <c r="H420" s="119">
        <f>H419-H423</f>
        <v>1702.0082105263159</v>
      </c>
      <c r="I420" s="1"/>
      <c r="J420" s="121"/>
    </row>
    <row r="421" spans="1:10" ht="15.75" x14ac:dyDescent="0.25">
      <c r="A421" s="1"/>
      <c r="B421" s="117" t="s">
        <v>109</v>
      </c>
      <c r="C421" s="118"/>
      <c r="D421" s="118"/>
      <c r="E421" s="118"/>
      <c r="F421" s="118"/>
      <c r="G421" s="118"/>
      <c r="H421" s="119">
        <f>H84+H152+H220+H288+H356+H13</f>
        <v>159.74804210526315</v>
      </c>
      <c r="I421" s="1"/>
      <c r="J421" s="122">
        <f>J84+M356</f>
        <v>159.74804210526315</v>
      </c>
    </row>
    <row r="422" spans="1:10" ht="15.75" x14ac:dyDescent="0.25">
      <c r="A422" s="1"/>
      <c r="B422" s="117" t="s">
        <v>110</v>
      </c>
      <c r="C422" s="118"/>
      <c r="D422" s="118"/>
      <c r="E422" s="118"/>
      <c r="F422" s="118"/>
      <c r="G422" s="118"/>
      <c r="H422" s="119">
        <f>H85+H153+H221+H289+H357+H14</f>
        <v>212.74374736842105</v>
      </c>
      <c r="I422" s="1"/>
      <c r="J422" s="122">
        <f>J85+M357</f>
        <v>212.74374736842105</v>
      </c>
    </row>
    <row r="423" spans="1:10" ht="16.5" thickBot="1" x14ac:dyDescent="0.3">
      <c r="A423" s="1"/>
      <c r="B423" s="117" t="s">
        <v>111</v>
      </c>
      <c r="C423" s="118"/>
      <c r="D423" s="118"/>
      <c r="E423" s="118"/>
      <c r="F423" s="118"/>
      <c r="G423" s="118"/>
      <c r="H423" s="119">
        <f>H421+H422</f>
        <v>372.49178947368421</v>
      </c>
      <c r="I423" s="1"/>
      <c r="J423" s="123">
        <f>J86+M358</f>
        <v>372.49178947368421</v>
      </c>
    </row>
    <row r="424" spans="1:10" ht="15.75" x14ac:dyDescent="0.25">
      <c r="A424" s="1"/>
      <c r="B424" s="117" t="s">
        <v>141</v>
      </c>
      <c r="C424" s="118"/>
      <c r="D424" s="118"/>
      <c r="E424" s="118"/>
      <c r="F424" s="118"/>
      <c r="G424" s="118"/>
      <c r="H424" s="124">
        <f>(H154+H222+H290+H358)/(H150+H218+H286+H354)</f>
        <v>0.20162708133393289</v>
      </c>
      <c r="I424" s="1"/>
      <c r="J424" s="149"/>
    </row>
    <row r="425" spans="1:10" ht="15.75" x14ac:dyDescent="0.25">
      <c r="A425" s="1"/>
      <c r="B425" s="117" t="s">
        <v>142</v>
      </c>
      <c r="C425" s="118"/>
      <c r="D425" s="118"/>
      <c r="E425" s="118"/>
      <c r="F425" s="118"/>
      <c r="G425" s="118"/>
      <c r="H425" s="124">
        <f>H423/H419</f>
        <v>0.17955738224810036</v>
      </c>
      <c r="I425" s="1"/>
      <c r="J425" s="1"/>
    </row>
    <row r="426" spans="1:10" ht="15.75" x14ac:dyDescent="0.25">
      <c r="A426" s="1"/>
      <c r="B426" s="117" t="s">
        <v>112</v>
      </c>
      <c r="C426" s="118"/>
      <c r="D426" s="118"/>
      <c r="E426" s="118"/>
      <c r="F426" s="118"/>
      <c r="G426" s="118"/>
      <c r="H426" s="119">
        <f>H89+H157+H225+H293+H361+H18</f>
        <v>4</v>
      </c>
      <c r="I426" s="1"/>
      <c r="J426" s="1"/>
    </row>
    <row r="427" spans="1:10" ht="15.75" x14ac:dyDescent="0.25">
      <c r="A427" s="1"/>
      <c r="B427" s="117" t="s">
        <v>113</v>
      </c>
      <c r="C427" s="118"/>
      <c r="D427" s="118"/>
      <c r="E427" s="118"/>
      <c r="F427" s="118"/>
      <c r="G427" s="118"/>
      <c r="H427" s="125">
        <f>H134+H202+H270+H338+H406+H64</f>
        <v>1200000</v>
      </c>
      <c r="I427" s="1"/>
      <c r="J427" s="1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1"/>
      <c r="J432" s="1"/>
    </row>
    <row r="433" spans="1:8" s="129" customFormat="1" ht="12.95" customHeight="1" x14ac:dyDescent="0.25">
      <c r="A433" s="126"/>
      <c r="B433" s="127" t="s">
        <v>114</v>
      </c>
      <c r="C433" s="128" t="str">
        <f>A9</f>
        <v>Base Model &lt;2 FAR</v>
      </c>
      <c r="D433" s="126"/>
      <c r="E433" s="126"/>
      <c r="H433" s="130"/>
    </row>
    <row r="434" spans="1:8" ht="10.5" customHeight="1" x14ac:dyDescent="0.25">
      <c r="A434" s="131"/>
      <c r="B434" s="131" t="s">
        <v>115</v>
      </c>
      <c r="C434" s="132">
        <f>H8</f>
        <v>157010</v>
      </c>
      <c r="D434" s="131"/>
      <c r="E434" s="131"/>
    </row>
    <row r="435" spans="1:8" ht="10.5" customHeight="1" x14ac:dyDescent="0.25">
      <c r="A435" s="131"/>
      <c r="B435" s="131" t="s">
        <v>116</v>
      </c>
      <c r="C435" s="132">
        <f>H10</f>
        <v>228360</v>
      </c>
      <c r="D435" s="131"/>
      <c r="E435" s="131"/>
    </row>
    <row r="436" spans="1:8" ht="10.5" customHeight="1" x14ac:dyDescent="0.25">
      <c r="A436" s="131"/>
      <c r="B436" s="131" t="s">
        <v>117</v>
      </c>
      <c r="C436" s="132">
        <f>G11</f>
        <v>950</v>
      </c>
      <c r="D436" s="131"/>
      <c r="E436" s="131"/>
    </row>
    <row r="437" spans="1:8" ht="10.5" customHeight="1" x14ac:dyDescent="0.25">
      <c r="A437" s="131"/>
      <c r="B437" s="131" t="s">
        <v>107</v>
      </c>
      <c r="C437" s="132">
        <f>H11</f>
        <v>240.37894736842105</v>
      </c>
      <c r="D437" s="131"/>
      <c r="E437" s="131"/>
    </row>
    <row r="438" spans="1:8" ht="10.5" customHeight="1" x14ac:dyDescent="0.25">
      <c r="A438" s="131"/>
      <c r="B438" s="131" t="s">
        <v>118</v>
      </c>
      <c r="C438" s="132">
        <f>H13</f>
        <v>31.249263157894738</v>
      </c>
      <c r="D438" s="131"/>
      <c r="E438" s="131"/>
    </row>
    <row r="439" spans="1:8" ht="10.5" customHeight="1" x14ac:dyDescent="0.25">
      <c r="A439" s="131"/>
      <c r="B439" s="131" t="s">
        <v>119</v>
      </c>
      <c r="C439" s="132">
        <f>H14</f>
        <v>0</v>
      </c>
      <c r="D439" s="131"/>
      <c r="E439" s="131"/>
    </row>
    <row r="440" spans="1:8" ht="10.5" customHeight="1" x14ac:dyDescent="0.25">
      <c r="A440" s="131"/>
      <c r="B440" s="131" t="s">
        <v>120</v>
      </c>
      <c r="C440" s="132">
        <f>H18</f>
        <v>0</v>
      </c>
      <c r="D440" s="131"/>
      <c r="E440" s="131"/>
    </row>
    <row r="441" spans="1:8" ht="10.5" customHeight="1" x14ac:dyDescent="0.25">
      <c r="A441" s="131"/>
      <c r="B441" s="131"/>
      <c r="C441" s="132"/>
      <c r="D441" s="131"/>
      <c r="E441" s="131"/>
    </row>
    <row r="442" spans="1:8" ht="10.5" customHeight="1" x14ac:dyDescent="0.25">
      <c r="A442" s="131"/>
      <c r="B442" s="133" t="s">
        <v>121</v>
      </c>
      <c r="C442" s="132"/>
      <c r="D442" s="131"/>
      <c r="E442" s="131"/>
    </row>
    <row r="443" spans="1:8" ht="10.5" customHeight="1" x14ac:dyDescent="0.25">
      <c r="A443" s="131"/>
      <c r="B443" s="131" t="s">
        <v>122</v>
      </c>
      <c r="C443" s="134">
        <f>H28</f>
        <v>411837.78906947369</v>
      </c>
      <c r="D443" s="135" t="s">
        <v>123</v>
      </c>
      <c r="E443" s="134">
        <v>1098.26</v>
      </c>
    </row>
    <row r="444" spans="1:8" ht="10.5" customHeight="1" x14ac:dyDescent="0.25">
      <c r="A444" s="131"/>
      <c r="B444" s="131" t="s">
        <v>124</v>
      </c>
      <c r="C444" s="134">
        <f>H29</f>
        <v>0</v>
      </c>
      <c r="D444" s="135" t="s">
        <v>123</v>
      </c>
      <c r="E444" s="134">
        <v>784.93925925925919</v>
      </c>
    </row>
    <row r="445" spans="1:8" ht="10.5" customHeight="1" x14ac:dyDescent="0.25">
      <c r="A445" s="131"/>
      <c r="B445" s="131" t="s">
        <v>125</v>
      </c>
      <c r="C445" s="136">
        <f>H27</f>
        <v>7414902</v>
      </c>
      <c r="D445" s="135" t="s">
        <v>123</v>
      </c>
      <c r="E445" s="134">
        <v>2956.5</v>
      </c>
    </row>
    <row r="446" spans="1:8" ht="10.5" customHeight="1" x14ac:dyDescent="0.25">
      <c r="A446" s="131"/>
      <c r="B446" s="131" t="s">
        <v>126</v>
      </c>
      <c r="C446" s="136">
        <f>H32</f>
        <v>540852.63157894742</v>
      </c>
      <c r="D446" s="135"/>
      <c r="E446" s="134"/>
    </row>
    <row r="447" spans="1:8" ht="10.5" customHeight="1" x14ac:dyDescent="0.25">
      <c r="A447" s="131"/>
      <c r="B447" s="131" t="s">
        <v>127</v>
      </c>
      <c r="C447" s="136">
        <f>H41</f>
        <v>-370745.10000000003</v>
      </c>
      <c r="D447" s="135"/>
      <c r="E447" s="134"/>
    </row>
    <row r="448" spans="1:8" ht="10.5" customHeight="1" x14ac:dyDescent="0.25">
      <c r="A448" s="131"/>
      <c r="B448" s="131" t="s">
        <v>128</v>
      </c>
      <c r="C448" s="136">
        <f>H51</f>
        <v>-2647398.6315410528</v>
      </c>
      <c r="D448" s="131"/>
      <c r="E448" s="131"/>
    </row>
    <row r="449" spans="1:5" ht="10.5" customHeight="1" x14ac:dyDescent="0.25">
      <c r="A449" s="131"/>
      <c r="B449" s="131" t="s">
        <v>129</v>
      </c>
      <c r="C449" s="134">
        <f>SUM(C443:C448)</f>
        <v>5349448.6891073687</v>
      </c>
      <c r="D449" s="131"/>
      <c r="E449" s="131"/>
    </row>
    <row r="450" spans="1:5" ht="10.5" customHeight="1" x14ac:dyDescent="0.25">
      <c r="A450" s="131"/>
      <c r="B450" s="131"/>
      <c r="C450" s="131"/>
      <c r="D450" s="131"/>
      <c r="E450" s="131"/>
    </row>
    <row r="451" spans="1:5" ht="10.5" customHeight="1" x14ac:dyDescent="0.25">
      <c r="A451" s="131"/>
      <c r="B451" s="133" t="s">
        <v>130</v>
      </c>
      <c r="C451" s="131"/>
      <c r="D451" s="131"/>
      <c r="E451" s="131"/>
    </row>
    <row r="452" spans="1:5" ht="10.5" customHeight="1" x14ac:dyDescent="0.25">
      <c r="A452" s="131"/>
      <c r="B452" s="131" t="s">
        <v>131</v>
      </c>
      <c r="C452" s="136">
        <f>H65+H67</f>
        <v>65135483.368421063</v>
      </c>
      <c r="D452" s="131"/>
      <c r="E452" s="131"/>
    </row>
    <row r="453" spans="1:5" ht="10.5" customHeight="1" x14ac:dyDescent="0.25">
      <c r="A453" s="131"/>
      <c r="B453" s="131" t="s">
        <v>132</v>
      </c>
      <c r="C453" s="136">
        <f>H63</f>
        <v>10990700</v>
      </c>
      <c r="D453" s="131"/>
      <c r="E453" s="131"/>
    </row>
    <row r="454" spans="1:5" ht="10.5" customHeight="1" x14ac:dyDescent="0.25">
      <c r="A454" s="131"/>
      <c r="B454" s="131" t="s">
        <v>133</v>
      </c>
      <c r="C454" s="136">
        <f>H68</f>
        <v>11800000</v>
      </c>
      <c r="D454" s="131"/>
      <c r="E454" s="131"/>
    </row>
    <row r="455" spans="1:5" ht="10.5" customHeight="1" x14ac:dyDescent="0.25">
      <c r="A455" s="131"/>
      <c r="B455" s="131" t="s">
        <v>113</v>
      </c>
      <c r="C455" s="136">
        <f>H64</f>
        <v>0</v>
      </c>
      <c r="D455" s="131"/>
      <c r="E455" s="131"/>
    </row>
    <row r="456" spans="1:5" ht="10.5" customHeight="1" x14ac:dyDescent="0.25">
      <c r="A456" s="131"/>
      <c r="B456" s="131" t="s">
        <v>134</v>
      </c>
      <c r="C456" s="136">
        <f>SUM(C452:C455)</f>
        <v>87926183.368421063</v>
      </c>
      <c r="D456" s="135" t="s">
        <v>135</v>
      </c>
      <c r="E456" s="136">
        <f>C456/C437</f>
        <v>365781.54755648982</v>
      </c>
    </row>
    <row r="457" spans="1:5" ht="10.5" customHeight="1" x14ac:dyDescent="0.25">
      <c r="A457" s="131"/>
      <c r="B457" s="131"/>
      <c r="C457" s="131"/>
      <c r="D457" s="131"/>
      <c r="E457" s="131"/>
    </row>
    <row r="458" spans="1:5" ht="10.5" customHeight="1" x14ac:dyDescent="0.25">
      <c r="A458" s="131"/>
      <c r="B458" s="133" t="s">
        <v>136</v>
      </c>
      <c r="C458" s="137">
        <f>C449/C456</f>
        <v>6.0840223971653E-2</v>
      </c>
      <c r="D458" s="131"/>
      <c r="E458" s="131"/>
    </row>
    <row r="459" spans="1:5" ht="10.5" customHeight="1" x14ac:dyDescent="0.25">
      <c r="A459" s="131"/>
      <c r="B459" s="131"/>
      <c r="C459" s="131"/>
      <c r="D459" s="131"/>
      <c r="E459" s="131"/>
    </row>
    <row r="460" spans="1:5" ht="10.5" hidden="1" customHeight="1" x14ac:dyDescent="0.25">
      <c r="A460" s="131"/>
      <c r="B460" s="131"/>
      <c r="C460" s="131"/>
      <c r="D460" s="131"/>
      <c r="E460" s="131"/>
    </row>
    <row r="461" spans="1:5" ht="10.5" hidden="1" customHeight="1" x14ac:dyDescent="0.25">
      <c r="A461" s="131"/>
      <c r="B461" s="131"/>
      <c r="C461" s="131"/>
      <c r="D461" s="131"/>
      <c r="E461" s="131"/>
    </row>
    <row r="462" spans="1:5" ht="10.5" hidden="1" customHeight="1" x14ac:dyDescent="0.25">
      <c r="A462" s="131"/>
      <c r="B462" s="131"/>
      <c r="C462" s="131"/>
      <c r="D462" s="131"/>
      <c r="E462" s="131"/>
    </row>
    <row r="463" spans="1:5" ht="10.5" hidden="1" customHeight="1" x14ac:dyDescent="0.25">
      <c r="A463" s="131"/>
      <c r="B463" s="131"/>
      <c r="C463" s="131"/>
      <c r="D463" s="131"/>
      <c r="E463" s="131"/>
    </row>
    <row r="464" spans="1:5" ht="10.5" hidden="1" customHeight="1" x14ac:dyDescent="0.25">
      <c r="A464" s="131"/>
      <c r="B464" s="131"/>
      <c r="C464" s="131"/>
      <c r="D464" s="131"/>
      <c r="E464" s="131"/>
    </row>
    <row r="465" spans="1:5" ht="10.5" hidden="1" customHeight="1" x14ac:dyDescent="0.25">
      <c r="A465" s="131"/>
      <c r="B465" s="131"/>
      <c r="C465" s="131"/>
      <c r="D465" s="131"/>
      <c r="E465" s="131"/>
    </row>
    <row r="466" spans="1:5" ht="10.5" hidden="1" customHeight="1" x14ac:dyDescent="0.25">
      <c r="A466" s="131"/>
      <c r="B466" s="131"/>
      <c r="C466" s="131"/>
      <c r="D466" s="131"/>
      <c r="E466" s="131"/>
    </row>
    <row r="467" spans="1:5" ht="10.5" hidden="1" customHeight="1" x14ac:dyDescent="0.25">
      <c r="A467" s="131"/>
      <c r="B467" s="131"/>
      <c r="C467" s="131"/>
      <c r="D467" s="131"/>
      <c r="E467" s="131"/>
    </row>
    <row r="468" spans="1:5" ht="10.5" hidden="1" customHeight="1" x14ac:dyDescent="0.25">
      <c r="A468" s="131"/>
      <c r="B468" s="131"/>
      <c r="C468" s="131"/>
      <c r="D468" s="131"/>
      <c r="E468" s="131"/>
    </row>
    <row r="469" spans="1:5" ht="10.5" hidden="1" customHeight="1" x14ac:dyDescent="0.25">
      <c r="A469" s="131"/>
      <c r="B469" s="131"/>
      <c r="C469" s="131"/>
      <c r="D469" s="131"/>
      <c r="E469" s="131"/>
    </row>
    <row r="470" spans="1:5" ht="10.5" hidden="1" customHeight="1" x14ac:dyDescent="0.25">
      <c r="A470" s="131"/>
      <c r="B470" s="131"/>
      <c r="C470" s="131"/>
      <c r="D470" s="131"/>
      <c r="E470" s="131"/>
    </row>
    <row r="471" spans="1:5" ht="10.5" hidden="1" customHeight="1" x14ac:dyDescent="0.25">
      <c r="A471" s="131"/>
      <c r="B471" s="131"/>
      <c r="C471" s="131"/>
      <c r="D471" s="131"/>
      <c r="E471" s="131"/>
    </row>
    <row r="472" spans="1:5" ht="10.5" hidden="1" customHeight="1" x14ac:dyDescent="0.25">
      <c r="A472" s="131"/>
      <c r="B472" s="131"/>
      <c r="C472" s="131"/>
      <c r="D472" s="131"/>
      <c r="E472" s="131"/>
    </row>
    <row r="473" spans="1:5" ht="10.5" hidden="1" customHeight="1" x14ac:dyDescent="0.25">
      <c r="A473" s="131"/>
      <c r="B473" s="131"/>
      <c r="C473" s="131"/>
      <c r="D473" s="131"/>
      <c r="E473" s="131"/>
    </row>
    <row r="474" spans="1:5" ht="10.5" hidden="1" customHeight="1" x14ac:dyDescent="0.25">
      <c r="A474" s="131"/>
      <c r="B474" s="131"/>
      <c r="C474" s="131"/>
      <c r="D474" s="131"/>
      <c r="E474" s="131"/>
    </row>
    <row r="475" spans="1:5" ht="10.5" hidden="1" customHeight="1" x14ac:dyDescent="0.25">
      <c r="A475" s="131"/>
      <c r="B475" s="131"/>
      <c r="C475" s="131"/>
      <c r="D475" s="131"/>
      <c r="E475" s="131"/>
    </row>
    <row r="476" spans="1:5" ht="10.5" hidden="1" customHeight="1" x14ac:dyDescent="0.25">
      <c r="A476" s="131"/>
      <c r="B476" s="131"/>
      <c r="C476" s="131"/>
      <c r="D476" s="131"/>
      <c r="E476" s="131"/>
    </row>
    <row r="477" spans="1:5" ht="10.5" hidden="1" customHeight="1" x14ac:dyDescent="0.25">
      <c r="A477" s="131"/>
      <c r="B477" s="131"/>
      <c r="C477" s="131"/>
      <c r="D477" s="131"/>
      <c r="E477" s="131"/>
    </row>
    <row r="478" spans="1:5" ht="10.5" hidden="1" customHeight="1" x14ac:dyDescent="0.25">
      <c r="A478" s="131"/>
      <c r="B478" s="131"/>
      <c r="C478" s="131"/>
      <c r="D478" s="131"/>
      <c r="E478" s="131"/>
    </row>
    <row r="479" spans="1:5" ht="10.5" hidden="1" customHeight="1" x14ac:dyDescent="0.25">
      <c r="A479" s="131"/>
      <c r="B479" s="131"/>
      <c r="C479" s="131"/>
      <c r="D479" s="131"/>
      <c r="E479" s="131"/>
    </row>
    <row r="480" spans="1:5" ht="10.5" hidden="1" customHeight="1" x14ac:dyDescent="0.25">
      <c r="A480" s="131"/>
      <c r="B480" s="131"/>
      <c r="C480" s="131"/>
      <c r="D480" s="131"/>
      <c r="E480" s="131"/>
    </row>
    <row r="481" spans="1:5" ht="10.5" hidden="1" customHeight="1" x14ac:dyDescent="0.25">
      <c r="A481" s="131"/>
      <c r="B481" s="131"/>
      <c r="C481" s="131"/>
      <c r="D481" s="131"/>
      <c r="E481" s="131"/>
    </row>
    <row r="482" spans="1:5" ht="10.5" hidden="1" customHeight="1" x14ac:dyDescent="0.25">
      <c r="A482" s="131"/>
      <c r="B482" s="131"/>
      <c r="C482" s="131"/>
      <c r="D482" s="131"/>
      <c r="E482" s="131"/>
    </row>
    <row r="483" spans="1:5" ht="10.5" hidden="1" customHeight="1" x14ac:dyDescent="0.25">
      <c r="A483" s="131"/>
      <c r="B483" s="131"/>
      <c r="C483" s="131"/>
      <c r="D483" s="131"/>
      <c r="E483" s="131"/>
    </row>
    <row r="484" spans="1:5" ht="10.5" hidden="1" customHeight="1" x14ac:dyDescent="0.25">
      <c r="A484" s="131"/>
      <c r="B484" s="131"/>
      <c r="C484" s="131"/>
      <c r="D484" s="131"/>
      <c r="E484" s="131"/>
    </row>
    <row r="485" spans="1:5" ht="10.5" hidden="1" customHeight="1" x14ac:dyDescent="0.25">
      <c r="A485" s="131"/>
      <c r="B485" s="131"/>
      <c r="C485" s="131"/>
      <c r="D485" s="131"/>
      <c r="E485" s="131"/>
    </row>
    <row r="486" spans="1:5" ht="10.5" hidden="1" customHeight="1" x14ac:dyDescent="0.25">
      <c r="A486" s="131"/>
      <c r="B486" s="131"/>
      <c r="C486" s="131"/>
      <c r="D486" s="131"/>
      <c r="E486" s="131"/>
    </row>
    <row r="487" spans="1:5" ht="10.5" hidden="1" customHeight="1" x14ac:dyDescent="0.25">
      <c r="A487" s="131"/>
      <c r="B487" s="131"/>
      <c r="C487" s="131"/>
      <c r="D487" s="131"/>
      <c r="E487" s="131"/>
    </row>
    <row r="488" spans="1:5" ht="10.5" hidden="1" customHeight="1" x14ac:dyDescent="0.25">
      <c r="A488" s="131"/>
      <c r="B488" s="131"/>
      <c r="C488" s="131"/>
      <c r="D488" s="131"/>
      <c r="E488" s="131"/>
    </row>
    <row r="489" spans="1:5" ht="10.5" hidden="1" customHeight="1" x14ac:dyDescent="0.25">
      <c r="A489" s="131"/>
      <c r="B489" s="131"/>
      <c r="C489" s="131"/>
      <c r="D489" s="131"/>
      <c r="E489" s="131"/>
    </row>
    <row r="490" spans="1:5" ht="10.5" hidden="1" customHeight="1" x14ac:dyDescent="0.25">
      <c r="A490" s="131"/>
      <c r="B490" s="131"/>
      <c r="C490" s="131"/>
      <c r="D490" s="131"/>
      <c r="E490" s="131"/>
    </row>
    <row r="491" spans="1:5" ht="10.5" hidden="1" customHeight="1" x14ac:dyDescent="0.25">
      <c r="A491" s="131"/>
      <c r="B491" s="131"/>
      <c r="C491" s="131"/>
      <c r="D491" s="131"/>
      <c r="E491" s="131"/>
    </row>
    <row r="492" spans="1:5" ht="10.5" hidden="1" customHeight="1" x14ac:dyDescent="0.25">
      <c r="A492" s="131"/>
      <c r="B492" s="131"/>
      <c r="C492" s="131"/>
      <c r="D492" s="131"/>
      <c r="E492" s="131"/>
    </row>
    <row r="493" spans="1:5" ht="10.5" hidden="1" customHeight="1" x14ac:dyDescent="0.25">
      <c r="A493" s="131"/>
      <c r="B493" s="131"/>
      <c r="C493" s="131"/>
      <c r="D493" s="131"/>
      <c r="E493" s="131"/>
    </row>
    <row r="494" spans="1:5" ht="10.5" hidden="1" customHeight="1" x14ac:dyDescent="0.25">
      <c r="A494" s="131"/>
      <c r="B494" s="131"/>
      <c r="C494" s="131"/>
      <c r="D494" s="131"/>
      <c r="E494" s="131"/>
    </row>
    <row r="495" spans="1:5" ht="10.5" hidden="1" customHeight="1" x14ac:dyDescent="0.25">
      <c r="A495" s="131"/>
      <c r="B495" s="131"/>
      <c r="C495" s="131"/>
      <c r="D495" s="131"/>
      <c r="E495" s="131"/>
    </row>
    <row r="496" spans="1:5" ht="10.5" hidden="1" customHeight="1" x14ac:dyDescent="0.25">
      <c r="A496" s="131"/>
      <c r="B496" s="131"/>
      <c r="C496" s="131"/>
      <c r="D496" s="131"/>
      <c r="E496" s="131"/>
    </row>
    <row r="497" spans="1:8" ht="10.5" hidden="1" customHeight="1" x14ac:dyDescent="0.25">
      <c r="A497" s="131"/>
      <c r="B497" s="131"/>
      <c r="C497" s="131"/>
      <c r="D497" s="131"/>
      <c r="E497" s="131"/>
    </row>
    <row r="498" spans="1:8" ht="10.5" hidden="1" customHeight="1" x14ac:dyDescent="0.25">
      <c r="A498" s="131"/>
      <c r="B498" s="131"/>
      <c r="C498" s="131"/>
      <c r="D498" s="131"/>
      <c r="E498" s="131"/>
      <c r="F498" s="1"/>
      <c r="G498" s="1"/>
      <c r="H498" s="2"/>
    </row>
    <row r="499" spans="1:8" ht="10.5" hidden="1" customHeight="1" x14ac:dyDescent="0.25">
      <c r="A499" s="131"/>
      <c r="B499" s="131"/>
      <c r="C499" s="131"/>
      <c r="D499" s="131"/>
      <c r="E499" s="131"/>
      <c r="F499" s="1"/>
      <c r="G499" s="1"/>
      <c r="H499" s="2"/>
    </row>
    <row r="500" spans="1:8" ht="10.5" hidden="1" customHeight="1" x14ac:dyDescent="0.25">
      <c r="A500" s="131"/>
      <c r="B500" s="131"/>
      <c r="C500" s="131"/>
      <c r="D500" s="131"/>
      <c r="E500" s="131"/>
      <c r="F500" s="1"/>
      <c r="G500" s="1"/>
      <c r="H500" s="2"/>
    </row>
    <row r="501" spans="1:8" ht="10.5" hidden="1" customHeight="1" x14ac:dyDescent="0.25">
      <c r="A501" s="131"/>
      <c r="B501" s="131"/>
      <c r="C501" s="131"/>
      <c r="D501" s="131"/>
      <c r="E501" s="131"/>
      <c r="F501" s="1"/>
      <c r="G501" s="1"/>
      <c r="H501" s="2"/>
    </row>
    <row r="502" spans="1:8" ht="10.5" hidden="1" customHeight="1" x14ac:dyDescent="0.25">
      <c r="A502" s="131"/>
      <c r="B502" s="133"/>
      <c r="C502" s="138"/>
      <c r="D502" s="131"/>
      <c r="E502" s="131"/>
      <c r="F502" s="1"/>
      <c r="G502" s="1"/>
      <c r="H502" s="2"/>
    </row>
    <row r="503" spans="1:8" s="129" customFormat="1" ht="12.95" customHeight="1" x14ac:dyDescent="0.25">
      <c r="A503" s="126"/>
      <c r="B503" s="127" t="s">
        <v>114</v>
      </c>
      <c r="C503" s="128" t="str">
        <f>A79</f>
        <v>Base IDP 2.0 FAR</v>
      </c>
      <c r="D503" s="126"/>
      <c r="E503" s="126"/>
      <c r="H503" s="130"/>
    </row>
    <row r="504" spans="1:8" ht="10.5" customHeight="1" x14ac:dyDescent="0.25">
      <c r="A504" s="131"/>
      <c r="B504" s="131" t="s">
        <v>115</v>
      </c>
      <c r="C504" s="132">
        <f>H79</f>
        <v>93255</v>
      </c>
      <c r="D504" s="131"/>
      <c r="E504" s="131"/>
      <c r="F504" s="1"/>
      <c r="G504" s="1"/>
      <c r="H504" s="2"/>
    </row>
    <row r="505" spans="1:8" ht="10.5" customHeight="1" x14ac:dyDescent="0.25">
      <c r="A505" s="131"/>
      <c r="B505" s="131" t="s">
        <v>116</v>
      </c>
      <c r="C505" s="132">
        <f>H81</f>
        <v>181135</v>
      </c>
      <c r="D505" s="131"/>
      <c r="E505" s="131"/>
      <c r="F505" s="1"/>
      <c r="G505" s="1"/>
      <c r="H505" s="2"/>
    </row>
    <row r="506" spans="1:8" ht="10.5" customHeight="1" x14ac:dyDescent="0.25">
      <c r="A506" s="131"/>
      <c r="B506" s="131" t="s">
        <v>117</v>
      </c>
      <c r="C506" s="132">
        <f>G82</f>
        <v>950</v>
      </c>
      <c r="D506" s="131"/>
      <c r="E506" s="131"/>
      <c r="F506" s="1"/>
      <c r="G506" s="1"/>
      <c r="H506" s="2"/>
    </row>
    <row r="507" spans="1:8" ht="10.5" customHeight="1" x14ac:dyDescent="0.25">
      <c r="A507" s="131"/>
      <c r="B507" s="131" t="s">
        <v>107</v>
      </c>
      <c r="C507" s="132">
        <f>H82</f>
        <v>190.66842105263157</v>
      </c>
      <c r="D507" s="131"/>
      <c r="E507" s="131"/>
      <c r="F507" s="1"/>
      <c r="G507" s="1"/>
      <c r="H507" s="2"/>
    </row>
    <row r="508" spans="1:8" ht="10.5" customHeight="1" x14ac:dyDescent="0.25">
      <c r="A508" s="131"/>
      <c r="B508" s="131" t="s">
        <v>118</v>
      </c>
      <c r="C508" s="132">
        <f>H84</f>
        <v>25</v>
      </c>
      <c r="D508" s="131"/>
      <c r="E508" s="131"/>
      <c r="F508" s="1"/>
      <c r="G508" s="1"/>
      <c r="H508" s="2"/>
    </row>
    <row r="509" spans="1:8" ht="10.5" customHeight="1" x14ac:dyDescent="0.25">
      <c r="A509" s="131"/>
      <c r="B509" s="131" t="s">
        <v>119</v>
      </c>
      <c r="C509" s="132">
        <f>H85</f>
        <v>0</v>
      </c>
      <c r="D509" s="131"/>
      <c r="E509" s="131"/>
      <c r="F509" s="1"/>
      <c r="G509" s="1"/>
      <c r="H509" s="2"/>
    </row>
    <row r="510" spans="1:8" ht="10.5" customHeight="1" x14ac:dyDescent="0.25">
      <c r="A510" s="131"/>
      <c r="B510" s="131" t="s">
        <v>120</v>
      </c>
      <c r="C510" s="132">
        <f>H89</f>
        <v>0</v>
      </c>
      <c r="D510" s="131"/>
      <c r="E510" s="131"/>
      <c r="F510" s="1"/>
      <c r="G510" s="1"/>
      <c r="H510" s="2"/>
    </row>
    <row r="511" spans="1:8" ht="10.5" customHeight="1" x14ac:dyDescent="0.25">
      <c r="A511" s="131"/>
      <c r="B511" s="131"/>
      <c r="C511" s="132"/>
      <c r="D511" s="131"/>
      <c r="E511" s="131"/>
      <c r="F511" s="1"/>
      <c r="G511" s="1"/>
      <c r="H511" s="2"/>
    </row>
    <row r="512" spans="1:8" ht="10.5" customHeight="1" x14ac:dyDescent="0.25">
      <c r="A512" s="131"/>
      <c r="B512" s="133" t="s">
        <v>121</v>
      </c>
      <c r="C512" s="132"/>
      <c r="D512" s="131"/>
      <c r="E512" s="131"/>
      <c r="F512" s="1"/>
      <c r="G512" s="1"/>
      <c r="H512" s="2"/>
    </row>
    <row r="513" spans="1:8" ht="10.5" customHeight="1" x14ac:dyDescent="0.25">
      <c r="A513" s="131"/>
      <c r="B513" s="131" t="s">
        <v>122</v>
      </c>
      <c r="C513" s="134">
        <f>H98</f>
        <v>329478</v>
      </c>
      <c r="D513" s="135" t="s">
        <v>123</v>
      </c>
      <c r="E513" s="134">
        <v>1098.26</v>
      </c>
      <c r="F513" s="1"/>
      <c r="G513" s="1"/>
      <c r="H513" s="2"/>
    </row>
    <row r="514" spans="1:8" ht="10.5" customHeight="1" x14ac:dyDescent="0.25">
      <c r="A514" s="131"/>
      <c r="B514" s="131" t="s">
        <v>124</v>
      </c>
      <c r="C514" s="134">
        <f>H99</f>
        <v>0</v>
      </c>
      <c r="D514" s="135" t="s">
        <v>123</v>
      </c>
      <c r="E514" s="134">
        <v>784.93925925925919</v>
      </c>
    </row>
    <row r="515" spans="1:8" ht="10.5" customHeight="1" x14ac:dyDescent="0.25">
      <c r="A515" s="131"/>
      <c r="B515" s="131" t="s">
        <v>125</v>
      </c>
      <c r="C515" s="136">
        <f>H97</f>
        <v>5889348</v>
      </c>
      <c r="D515" s="135" t="s">
        <v>123</v>
      </c>
      <c r="E515" s="134">
        <v>2956.5</v>
      </c>
    </row>
    <row r="516" spans="1:8" ht="10.5" customHeight="1" x14ac:dyDescent="0.25">
      <c r="A516" s="131"/>
      <c r="B516" s="131" t="s">
        <v>126</v>
      </c>
      <c r="C516" s="136">
        <f>H102</f>
        <v>429003.94736842095</v>
      </c>
      <c r="D516" s="135"/>
      <c r="E516" s="134"/>
    </row>
    <row r="517" spans="1:8" ht="10.5" customHeight="1" x14ac:dyDescent="0.25">
      <c r="A517" s="131"/>
      <c r="B517" s="131" t="s">
        <v>127</v>
      </c>
      <c r="C517" s="136">
        <f>H111</f>
        <v>-294467.40000000002</v>
      </c>
      <c r="D517" s="135"/>
      <c r="E517" s="134"/>
    </row>
    <row r="518" spans="1:8" ht="10.5" customHeight="1" x14ac:dyDescent="0.25">
      <c r="A518" s="131"/>
      <c r="B518" s="131" t="s">
        <v>128</v>
      </c>
      <c r="C518" s="136">
        <f>H121</f>
        <v>-2100914.320723684</v>
      </c>
      <c r="D518" s="131"/>
      <c r="E518" s="131"/>
    </row>
    <row r="519" spans="1:8" ht="10.5" customHeight="1" x14ac:dyDescent="0.25">
      <c r="A519" s="131"/>
      <c r="B519" s="131" t="s">
        <v>129</v>
      </c>
      <c r="C519" s="134">
        <f>SUM(C513:C518)</f>
        <v>4252448.2266447358</v>
      </c>
      <c r="D519" s="131"/>
      <c r="E519" s="131"/>
    </row>
    <row r="520" spans="1:8" ht="10.5" customHeight="1" x14ac:dyDescent="0.25">
      <c r="A520" s="131"/>
      <c r="B520" s="131"/>
      <c r="C520" s="131"/>
      <c r="D520" s="131"/>
      <c r="E520" s="131"/>
    </row>
    <row r="521" spans="1:8" ht="10.5" customHeight="1" x14ac:dyDescent="0.25">
      <c r="A521" s="131"/>
      <c r="B521" s="133" t="s">
        <v>130</v>
      </c>
      <c r="C521" s="131"/>
      <c r="D521" s="131"/>
      <c r="E521" s="131"/>
    </row>
    <row r="522" spans="1:8" ht="10.5" customHeight="1" x14ac:dyDescent="0.25">
      <c r="A522" s="131"/>
      <c r="B522" s="131" t="s">
        <v>131</v>
      </c>
      <c r="C522" s="136">
        <f>H135+H137</f>
        <v>51665422.052631587</v>
      </c>
      <c r="D522" s="131"/>
      <c r="E522" s="131"/>
    </row>
    <row r="523" spans="1:8" ht="10.5" customHeight="1" x14ac:dyDescent="0.25">
      <c r="A523" s="131"/>
      <c r="B523" s="131" t="s">
        <v>132</v>
      </c>
      <c r="C523" s="136">
        <f>H133</f>
        <v>6527850</v>
      </c>
      <c r="D523" s="131"/>
      <c r="E523" s="131"/>
    </row>
    <row r="524" spans="1:8" ht="10.5" customHeight="1" x14ac:dyDescent="0.25">
      <c r="A524" s="131"/>
      <c r="B524" s="131" t="s">
        <v>133</v>
      </c>
      <c r="C524" s="136">
        <f>H138</f>
        <v>9300000</v>
      </c>
      <c r="D524" s="131"/>
      <c r="E524" s="131"/>
    </row>
    <row r="525" spans="1:8" ht="10.5" customHeight="1" x14ac:dyDescent="0.25">
      <c r="A525" s="131"/>
      <c r="B525" s="131" t="s">
        <v>113</v>
      </c>
      <c r="C525" s="136">
        <f>H134</f>
        <v>0</v>
      </c>
      <c r="D525" s="131"/>
      <c r="E525" s="131"/>
    </row>
    <row r="526" spans="1:8" ht="10.5" customHeight="1" x14ac:dyDescent="0.25">
      <c r="A526" s="131"/>
      <c r="B526" s="131" t="s">
        <v>134</v>
      </c>
      <c r="C526" s="136">
        <f>SUM(C522:C525)</f>
        <v>67493272.052631587</v>
      </c>
      <c r="D526" s="135" t="s">
        <v>135</v>
      </c>
      <c r="E526" s="136">
        <f>C526/C507</f>
        <v>353982.43547630229</v>
      </c>
    </row>
    <row r="527" spans="1:8" ht="10.5" customHeight="1" x14ac:dyDescent="0.25">
      <c r="A527" s="131"/>
      <c r="B527" s="131"/>
      <c r="C527" s="131"/>
      <c r="D527" s="131"/>
      <c r="E527" s="131"/>
    </row>
    <row r="528" spans="1:8" ht="10.5" customHeight="1" x14ac:dyDescent="0.25">
      <c r="A528" s="131"/>
      <c r="B528" s="133" t="s">
        <v>136</v>
      </c>
      <c r="C528" s="137">
        <f>C519/C526</f>
        <v>6.3005512954367598E-2</v>
      </c>
      <c r="D528" s="131"/>
      <c r="E528" s="131"/>
    </row>
    <row r="529" spans="1:5" ht="10.5" customHeight="1" x14ac:dyDescent="0.25">
      <c r="A529" s="131"/>
      <c r="B529" s="131"/>
      <c r="C529" s="131"/>
      <c r="D529" s="131"/>
      <c r="E529" s="131"/>
    </row>
    <row r="530" spans="1:5" ht="10.5" hidden="1" customHeight="1" x14ac:dyDescent="0.25">
      <c r="A530" s="131"/>
      <c r="B530" s="131"/>
      <c r="C530" s="131"/>
      <c r="D530" s="131"/>
      <c r="E530" s="131"/>
    </row>
    <row r="531" spans="1:5" ht="10.5" hidden="1" customHeight="1" x14ac:dyDescent="0.25">
      <c r="A531" s="131"/>
      <c r="B531" s="131"/>
      <c r="C531" s="131"/>
      <c r="D531" s="131"/>
      <c r="E531" s="131"/>
    </row>
    <row r="532" spans="1:5" ht="10.5" hidden="1" customHeight="1" x14ac:dyDescent="0.25">
      <c r="A532" s="131"/>
      <c r="B532" s="131"/>
      <c r="C532" s="131"/>
      <c r="D532" s="131"/>
      <c r="E532" s="131"/>
    </row>
    <row r="533" spans="1:5" ht="10.5" hidden="1" customHeight="1" x14ac:dyDescent="0.25">
      <c r="A533" s="131"/>
      <c r="B533" s="131"/>
      <c r="C533" s="131"/>
      <c r="D533" s="131"/>
      <c r="E533" s="131"/>
    </row>
    <row r="534" spans="1:5" ht="10.5" hidden="1" customHeight="1" x14ac:dyDescent="0.25">
      <c r="A534" s="131"/>
      <c r="B534" s="131"/>
      <c r="C534" s="131"/>
      <c r="D534" s="131"/>
      <c r="E534" s="131"/>
    </row>
    <row r="535" spans="1:5" ht="10.5" hidden="1" customHeight="1" x14ac:dyDescent="0.25">
      <c r="A535" s="131"/>
      <c r="B535" s="131"/>
      <c r="C535" s="131"/>
      <c r="D535" s="131"/>
      <c r="E535" s="131"/>
    </row>
    <row r="536" spans="1:5" ht="10.5" hidden="1" customHeight="1" x14ac:dyDescent="0.25">
      <c r="A536" s="131"/>
      <c r="B536" s="131"/>
      <c r="C536" s="131"/>
      <c r="D536" s="131"/>
      <c r="E536" s="131"/>
    </row>
    <row r="537" spans="1:5" ht="10.5" hidden="1" customHeight="1" x14ac:dyDescent="0.25">
      <c r="A537" s="131"/>
      <c r="B537" s="131"/>
      <c r="C537" s="131"/>
      <c r="D537" s="131"/>
      <c r="E537" s="131"/>
    </row>
    <row r="538" spans="1:5" ht="10.5" hidden="1" customHeight="1" x14ac:dyDescent="0.25">
      <c r="A538" s="131"/>
      <c r="B538" s="131"/>
      <c r="C538" s="131"/>
      <c r="D538" s="131"/>
      <c r="E538" s="131"/>
    </row>
    <row r="539" spans="1:5" ht="10.5" hidden="1" customHeight="1" x14ac:dyDescent="0.25">
      <c r="A539" s="131"/>
      <c r="B539" s="131"/>
      <c r="C539" s="131"/>
      <c r="D539" s="131"/>
      <c r="E539" s="131"/>
    </row>
    <row r="540" spans="1:5" ht="10.5" hidden="1" customHeight="1" x14ac:dyDescent="0.25">
      <c r="A540" s="131"/>
      <c r="B540" s="131"/>
      <c r="C540" s="131"/>
      <c r="D540" s="131"/>
      <c r="E540" s="131"/>
    </row>
    <row r="541" spans="1:5" ht="10.5" hidden="1" customHeight="1" x14ac:dyDescent="0.25">
      <c r="A541" s="131"/>
      <c r="B541" s="131"/>
      <c r="C541" s="131"/>
      <c r="D541" s="131"/>
      <c r="E541" s="131"/>
    </row>
    <row r="542" spans="1:5" ht="10.5" hidden="1" customHeight="1" x14ac:dyDescent="0.25">
      <c r="A542" s="131"/>
      <c r="B542" s="131"/>
      <c r="C542" s="131"/>
      <c r="D542" s="131"/>
      <c r="E542" s="131"/>
    </row>
    <row r="543" spans="1:5" ht="10.5" hidden="1" customHeight="1" x14ac:dyDescent="0.25">
      <c r="A543" s="131"/>
      <c r="B543" s="131"/>
      <c r="C543" s="131"/>
      <c r="D543" s="131"/>
      <c r="E543" s="131"/>
    </row>
    <row r="544" spans="1:5" ht="10.5" hidden="1" customHeight="1" x14ac:dyDescent="0.25">
      <c r="A544" s="131"/>
      <c r="B544" s="131"/>
      <c r="C544" s="131"/>
      <c r="D544" s="131"/>
      <c r="E544" s="131"/>
    </row>
    <row r="545" spans="1:5" ht="10.5" hidden="1" customHeight="1" x14ac:dyDescent="0.25">
      <c r="A545" s="131"/>
      <c r="B545" s="131"/>
      <c r="C545" s="131"/>
      <c r="D545" s="131"/>
      <c r="E545" s="131"/>
    </row>
    <row r="546" spans="1:5" ht="10.5" hidden="1" customHeight="1" x14ac:dyDescent="0.25">
      <c r="A546" s="131"/>
      <c r="B546" s="131"/>
      <c r="C546" s="131"/>
      <c r="D546" s="131"/>
      <c r="E546" s="131"/>
    </row>
    <row r="547" spans="1:5" ht="10.5" hidden="1" customHeight="1" x14ac:dyDescent="0.25">
      <c r="A547" s="131"/>
      <c r="B547" s="131"/>
      <c r="C547" s="131"/>
      <c r="D547" s="131"/>
      <c r="E547" s="131"/>
    </row>
    <row r="548" spans="1:5" ht="10.5" hidden="1" customHeight="1" x14ac:dyDescent="0.25">
      <c r="A548" s="131"/>
      <c r="B548" s="131"/>
      <c r="C548" s="131"/>
      <c r="D548" s="131"/>
      <c r="E548" s="131"/>
    </row>
    <row r="549" spans="1:5" ht="10.5" hidden="1" customHeight="1" x14ac:dyDescent="0.25">
      <c r="A549" s="131"/>
      <c r="B549" s="131"/>
      <c r="C549" s="131"/>
      <c r="D549" s="131"/>
      <c r="E549" s="131"/>
    </row>
    <row r="550" spans="1:5" ht="10.5" hidden="1" customHeight="1" x14ac:dyDescent="0.25">
      <c r="A550" s="131"/>
      <c r="B550" s="131"/>
      <c r="C550" s="131"/>
      <c r="D550" s="131"/>
      <c r="E550" s="131"/>
    </row>
    <row r="551" spans="1:5" ht="10.5" hidden="1" customHeight="1" x14ac:dyDescent="0.25">
      <c r="A551" s="131"/>
      <c r="B551" s="131"/>
      <c r="C551" s="131"/>
      <c r="D551" s="131"/>
      <c r="E551" s="131"/>
    </row>
    <row r="552" spans="1:5" ht="10.5" hidden="1" customHeight="1" x14ac:dyDescent="0.25">
      <c r="A552" s="131"/>
      <c r="B552" s="131"/>
      <c r="C552" s="131"/>
      <c r="D552" s="131"/>
      <c r="E552" s="131"/>
    </row>
    <row r="553" spans="1:5" ht="10.5" hidden="1" customHeight="1" x14ac:dyDescent="0.25">
      <c r="A553" s="131"/>
      <c r="B553" s="131"/>
      <c r="C553" s="131"/>
      <c r="D553" s="131"/>
      <c r="E553" s="131"/>
    </row>
    <row r="554" spans="1:5" ht="10.5" hidden="1" customHeight="1" x14ac:dyDescent="0.25">
      <c r="A554" s="131"/>
      <c r="B554" s="131"/>
      <c r="C554" s="131"/>
      <c r="D554" s="131"/>
      <c r="E554" s="131"/>
    </row>
    <row r="555" spans="1:5" ht="10.5" hidden="1" customHeight="1" x14ac:dyDescent="0.25">
      <c r="A555" s="131"/>
      <c r="B555" s="131"/>
      <c r="C555" s="131"/>
      <c r="D555" s="131"/>
      <c r="E555" s="131"/>
    </row>
    <row r="556" spans="1:5" ht="10.5" hidden="1" customHeight="1" x14ac:dyDescent="0.25">
      <c r="A556" s="131"/>
      <c r="B556" s="131"/>
      <c r="C556" s="131"/>
      <c r="D556" s="131"/>
      <c r="E556" s="131"/>
    </row>
    <row r="557" spans="1:5" ht="10.5" hidden="1" customHeight="1" x14ac:dyDescent="0.25">
      <c r="A557" s="131"/>
      <c r="B557" s="131"/>
      <c r="C557" s="131"/>
      <c r="D557" s="131"/>
      <c r="E557" s="131"/>
    </row>
    <row r="558" spans="1:5" ht="10.5" hidden="1" customHeight="1" x14ac:dyDescent="0.25">
      <c r="A558" s="131"/>
      <c r="B558" s="131"/>
      <c r="C558" s="131"/>
      <c r="D558" s="131"/>
      <c r="E558" s="131"/>
    </row>
    <row r="559" spans="1:5" ht="10.5" hidden="1" customHeight="1" x14ac:dyDescent="0.25">
      <c r="A559" s="131"/>
      <c r="B559" s="131"/>
      <c r="C559" s="131"/>
      <c r="D559" s="131"/>
      <c r="E559" s="131"/>
    </row>
    <row r="560" spans="1:5" ht="10.5" hidden="1" customHeight="1" x14ac:dyDescent="0.25">
      <c r="A560" s="131"/>
      <c r="B560" s="131"/>
      <c r="C560" s="131"/>
      <c r="D560" s="131"/>
      <c r="E560" s="131"/>
    </row>
    <row r="561" spans="1:8" ht="10.5" hidden="1" customHeight="1" x14ac:dyDescent="0.25">
      <c r="A561" s="131"/>
      <c r="B561" s="131"/>
      <c r="C561" s="131"/>
      <c r="D561" s="131"/>
      <c r="E561" s="131"/>
    </row>
    <row r="562" spans="1:8" ht="10.5" hidden="1" customHeight="1" x14ac:dyDescent="0.25">
      <c r="A562" s="131"/>
      <c r="B562" s="131"/>
      <c r="C562" s="131"/>
      <c r="D562" s="131"/>
      <c r="E562" s="131"/>
      <c r="F562" s="1"/>
      <c r="G562" s="1"/>
      <c r="H562" s="2"/>
    </row>
    <row r="563" spans="1:8" ht="10.5" hidden="1" customHeight="1" x14ac:dyDescent="0.25">
      <c r="A563" s="131"/>
      <c r="B563" s="131"/>
      <c r="C563" s="131"/>
      <c r="D563" s="131"/>
      <c r="E563" s="131"/>
      <c r="F563" s="1"/>
      <c r="G563" s="1"/>
      <c r="H563" s="2"/>
    </row>
    <row r="564" spans="1:8" ht="10.5" hidden="1" customHeight="1" x14ac:dyDescent="0.25">
      <c r="A564" s="131"/>
      <c r="B564" s="131"/>
      <c r="C564" s="131"/>
      <c r="D564" s="131"/>
      <c r="E564" s="131"/>
      <c r="F564" s="1"/>
      <c r="G564" s="1"/>
      <c r="H564" s="2"/>
    </row>
    <row r="565" spans="1:8" ht="10.5" hidden="1" customHeight="1" x14ac:dyDescent="0.25">
      <c r="A565" s="131"/>
      <c r="B565" s="131"/>
      <c r="C565" s="131"/>
      <c r="D565" s="131"/>
      <c r="E565" s="131"/>
      <c r="F565" s="1"/>
      <c r="G565" s="1"/>
      <c r="H565" s="2"/>
    </row>
    <row r="566" spans="1:8" ht="10.5" hidden="1" customHeight="1" x14ac:dyDescent="0.25">
      <c r="A566" s="131"/>
      <c r="B566" s="131"/>
      <c r="C566" s="131"/>
      <c r="D566" s="131"/>
      <c r="E566" s="131"/>
      <c r="F566" s="1"/>
      <c r="G566" s="1"/>
      <c r="H566" s="2"/>
    </row>
    <row r="567" spans="1:8" ht="10.5" hidden="1" customHeight="1" x14ac:dyDescent="0.25">
      <c r="A567" s="131"/>
      <c r="B567" s="131"/>
      <c r="C567" s="131"/>
      <c r="D567" s="131"/>
      <c r="E567" s="131"/>
      <c r="F567" s="1"/>
      <c r="G567" s="1"/>
      <c r="H567" s="2"/>
    </row>
    <row r="568" spans="1:8" ht="10.5" hidden="1" customHeight="1" x14ac:dyDescent="0.25">
      <c r="A568" s="131"/>
      <c r="B568" s="131"/>
      <c r="C568" s="131"/>
      <c r="D568" s="131"/>
      <c r="E568" s="131"/>
      <c r="F568" s="1"/>
      <c r="G568" s="1"/>
      <c r="H568" s="2"/>
    </row>
    <row r="569" spans="1:8" ht="10.5" hidden="1" customHeight="1" x14ac:dyDescent="0.25">
      <c r="A569" s="131"/>
      <c r="B569" s="131"/>
      <c r="C569" s="131"/>
      <c r="D569" s="131"/>
      <c r="E569" s="131"/>
      <c r="F569" s="1"/>
      <c r="G569" s="1"/>
      <c r="H569" s="2"/>
    </row>
    <row r="570" spans="1:8" ht="10.5" hidden="1" customHeight="1" x14ac:dyDescent="0.25">
      <c r="A570" s="131"/>
      <c r="B570" s="131"/>
      <c r="C570" s="131"/>
      <c r="D570" s="131"/>
      <c r="E570" s="131"/>
      <c r="F570" s="1"/>
      <c r="G570" s="1"/>
      <c r="H570" s="2"/>
    </row>
    <row r="571" spans="1:8" ht="10.5" hidden="1" customHeight="1" x14ac:dyDescent="0.25">
      <c r="A571" s="131"/>
      <c r="B571" s="131"/>
      <c r="C571" s="131"/>
      <c r="D571" s="131"/>
      <c r="E571" s="131"/>
      <c r="F571" s="1"/>
      <c r="G571" s="1"/>
      <c r="H571" s="2"/>
    </row>
    <row r="572" spans="1:8" s="129" customFormat="1" ht="12.95" customHeight="1" x14ac:dyDescent="0.25">
      <c r="A572" s="126"/>
      <c r="B572" s="127" t="s">
        <v>114</v>
      </c>
      <c r="C572" s="128" t="str">
        <f>A148</f>
        <v>Bonus 3.0 FAR</v>
      </c>
      <c r="D572" s="126"/>
      <c r="E572" s="126"/>
      <c r="H572" s="130"/>
    </row>
    <row r="573" spans="1:8" ht="10.5" customHeight="1" x14ac:dyDescent="0.25">
      <c r="A573" s="131"/>
      <c r="B573" s="131" t="s">
        <v>115</v>
      </c>
      <c r="C573" s="132">
        <f>H147</f>
        <v>113559</v>
      </c>
      <c r="D573" s="131"/>
      <c r="E573" s="131"/>
      <c r="F573" s="1"/>
      <c r="G573" s="1"/>
      <c r="H573" s="2"/>
    </row>
    <row r="574" spans="1:8" ht="10.5" customHeight="1" x14ac:dyDescent="0.25">
      <c r="A574" s="131"/>
      <c r="B574" s="131" t="s">
        <v>116</v>
      </c>
      <c r="C574" s="132">
        <f>H149</f>
        <v>334820</v>
      </c>
      <c r="D574" s="131"/>
      <c r="E574" s="131"/>
      <c r="F574" s="1"/>
      <c r="G574" s="1"/>
      <c r="H574" s="2"/>
    </row>
    <row r="575" spans="1:8" ht="10.5" customHeight="1" x14ac:dyDescent="0.25">
      <c r="A575" s="131"/>
      <c r="B575" s="131" t="s">
        <v>117</v>
      </c>
      <c r="C575" s="132">
        <f>G150</f>
        <v>950</v>
      </c>
      <c r="D575" s="131"/>
      <c r="E575" s="131"/>
      <c r="F575" s="1"/>
      <c r="G575" s="1"/>
      <c r="H575" s="2"/>
    </row>
    <row r="576" spans="1:8" ht="10.5" customHeight="1" x14ac:dyDescent="0.25">
      <c r="A576" s="131"/>
      <c r="B576" s="131" t="s">
        <v>107</v>
      </c>
      <c r="C576" s="132">
        <f>H150</f>
        <v>352.44210526315788</v>
      </c>
      <c r="D576" s="131"/>
      <c r="E576" s="131"/>
      <c r="F576" s="1"/>
      <c r="G576" s="1"/>
      <c r="H576" s="2"/>
    </row>
    <row r="577" spans="1:8" ht="10.5" customHeight="1" x14ac:dyDescent="0.25">
      <c r="A577" s="131"/>
      <c r="B577" s="131" t="s">
        <v>118</v>
      </c>
      <c r="C577" s="132">
        <f>H152</f>
        <v>31.079305263157895</v>
      </c>
      <c r="D577" s="131"/>
      <c r="E577" s="131"/>
      <c r="F577" s="1"/>
      <c r="G577" s="1"/>
      <c r="H577" s="2"/>
    </row>
    <row r="578" spans="1:8" ht="10.5" customHeight="1" x14ac:dyDescent="0.25">
      <c r="A578" s="131"/>
      <c r="B578" s="131" t="s">
        <v>119</v>
      </c>
      <c r="C578" s="132">
        <f>H154</f>
        <v>62.823052631578953</v>
      </c>
      <c r="D578" s="131"/>
      <c r="E578" s="131"/>
    </row>
    <row r="579" spans="1:8" ht="10.5" customHeight="1" x14ac:dyDescent="0.25">
      <c r="A579" s="131"/>
      <c r="B579" s="131" t="s">
        <v>120</v>
      </c>
      <c r="C579" s="132">
        <f>H157</f>
        <v>0</v>
      </c>
      <c r="D579" s="131"/>
      <c r="E579" s="131"/>
    </row>
    <row r="580" spans="1:8" ht="10.5" customHeight="1" x14ac:dyDescent="0.25">
      <c r="A580" s="131"/>
      <c r="B580" s="131"/>
      <c r="C580" s="132"/>
      <c r="D580" s="131"/>
      <c r="E580" s="131"/>
    </row>
    <row r="581" spans="1:8" ht="10.5" customHeight="1" x14ac:dyDescent="0.25">
      <c r="A581" s="131"/>
      <c r="B581" s="133" t="s">
        <v>121</v>
      </c>
      <c r="C581" s="132"/>
      <c r="D581" s="131"/>
      <c r="E581" s="131"/>
    </row>
    <row r="582" spans="1:8" ht="10.5" customHeight="1" x14ac:dyDescent="0.25">
      <c r="A582" s="131"/>
      <c r="B582" s="131" t="s">
        <v>122</v>
      </c>
      <c r="C582" s="134">
        <f>H166</f>
        <v>409597.8935797895</v>
      </c>
      <c r="D582" s="135" t="s">
        <v>123</v>
      </c>
      <c r="E582" s="134">
        <v>1098.26</v>
      </c>
    </row>
    <row r="583" spans="1:8" ht="10.5" customHeight="1" x14ac:dyDescent="0.25">
      <c r="A583" s="131"/>
      <c r="B583" s="131" t="s">
        <v>124</v>
      </c>
      <c r="C583" s="134">
        <f>H167</f>
        <v>299002.96254577779</v>
      </c>
      <c r="D583" s="135" t="s">
        <v>123</v>
      </c>
      <c r="E583" s="134">
        <v>784.93925925925919</v>
      </c>
    </row>
    <row r="584" spans="1:8" ht="10.5" customHeight="1" x14ac:dyDescent="0.25">
      <c r="A584" s="131"/>
      <c r="B584" s="131" t="s">
        <v>125</v>
      </c>
      <c r="C584" s="136">
        <f>H165</f>
        <v>10288620</v>
      </c>
      <c r="D584" s="135" t="s">
        <v>123</v>
      </c>
      <c r="E584" s="134">
        <v>2956.5</v>
      </c>
    </row>
    <row r="585" spans="1:8" ht="10.5" customHeight="1" x14ac:dyDescent="0.25">
      <c r="A585" s="131"/>
      <c r="B585" s="131" t="s">
        <v>126</v>
      </c>
      <c r="C585" s="136">
        <f>H170</f>
        <v>792994.73684210528</v>
      </c>
      <c r="D585" s="135"/>
      <c r="E585" s="134"/>
    </row>
    <row r="586" spans="1:8" ht="10.5" customHeight="1" x14ac:dyDescent="0.25">
      <c r="A586" s="131"/>
      <c r="B586" s="131" t="s">
        <v>127</v>
      </c>
      <c r="C586" s="136">
        <f>H179</f>
        <v>-514431</v>
      </c>
      <c r="D586" s="135"/>
      <c r="E586" s="134"/>
    </row>
    <row r="587" spans="1:8" ht="10.5" customHeight="1" x14ac:dyDescent="0.25">
      <c r="A587" s="131"/>
      <c r="B587" s="131" t="s">
        <v>128</v>
      </c>
      <c r="C587" s="136">
        <f>H189</f>
        <v>-3808727.4998915265</v>
      </c>
      <c r="D587" s="131"/>
      <c r="E587" s="131"/>
    </row>
    <row r="588" spans="1:8" ht="10.5" customHeight="1" x14ac:dyDescent="0.25">
      <c r="A588" s="131"/>
      <c r="B588" s="131" t="s">
        <v>129</v>
      </c>
      <c r="C588" s="134">
        <f>SUM(C582:C587)</f>
        <v>7467057.0930761453</v>
      </c>
      <c r="D588" s="131"/>
      <c r="E588" s="131"/>
    </row>
    <row r="589" spans="1:8" ht="10.5" customHeight="1" x14ac:dyDescent="0.25">
      <c r="A589" s="131"/>
      <c r="B589" s="131"/>
      <c r="C589" s="131"/>
      <c r="D589" s="131"/>
      <c r="E589" s="131"/>
    </row>
    <row r="590" spans="1:8" ht="10.5" customHeight="1" x14ac:dyDescent="0.25">
      <c r="A590" s="131"/>
      <c r="B590" s="133" t="s">
        <v>130</v>
      </c>
      <c r="C590" s="131"/>
      <c r="D590" s="131"/>
      <c r="E590" s="131"/>
    </row>
    <row r="591" spans="1:8" ht="10.5" customHeight="1" x14ac:dyDescent="0.25">
      <c r="A591" s="131"/>
      <c r="B591" s="131" t="s">
        <v>131</v>
      </c>
      <c r="C591" s="136">
        <f>H203+H205</f>
        <v>95501237.263157904</v>
      </c>
      <c r="D591" s="131"/>
      <c r="E591" s="131"/>
    </row>
    <row r="592" spans="1:8" ht="10.5" customHeight="1" x14ac:dyDescent="0.25">
      <c r="A592" s="131"/>
      <c r="B592" s="131" t="s">
        <v>132</v>
      </c>
      <c r="C592" s="136">
        <f>H201</f>
        <v>7949130</v>
      </c>
      <c r="D592" s="131"/>
      <c r="E592" s="131"/>
    </row>
    <row r="593" spans="1:5" ht="10.5" customHeight="1" x14ac:dyDescent="0.25">
      <c r="A593" s="131"/>
      <c r="B593" s="131" t="s">
        <v>133</v>
      </c>
      <c r="C593" s="136">
        <f>H206</f>
        <v>17200000</v>
      </c>
      <c r="D593" s="131"/>
      <c r="E593" s="131"/>
    </row>
    <row r="594" spans="1:5" ht="10.5" customHeight="1" x14ac:dyDescent="0.25">
      <c r="A594" s="131"/>
      <c r="B594" s="131" t="s">
        <v>113</v>
      </c>
      <c r="C594" s="136">
        <f>H202</f>
        <v>0</v>
      </c>
      <c r="D594" s="131"/>
      <c r="E594" s="131"/>
    </row>
    <row r="595" spans="1:5" ht="10.5" customHeight="1" x14ac:dyDescent="0.25">
      <c r="A595" s="131"/>
      <c r="B595" s="131" t="s">
        <v>134</v>
      </c>
      <c r="C595" s="136">
        <f>SUM(C591:C594)</f>
        <v>120650367.2631579</v>
      </c>
      <c r="D595" s="135" t="s">
        <v>135</v>
      </c>
      <c r="E595" s="136">
        <f>C595/C576</f>
        <v>342326.76930888242</v>
      </c>
    </row>
    <row r="596" spans="1:5" ht="10.5" customHeight="1" x14ac:dyDescent="0.25">
      <c r="A596" s="131"/>
      <c r="B596" s="131"/>
      <c r="C596" s="131"/>
      <c r="D596" s="131"/>
      <c r="E596" s="131"/>
    </row>
    <row r="597" spans="1:5" ht="10.5" customHeight="1" x14ac:dyDescent="0.25">
      <c r="A597" s="131"/>
      <c r="B597" s="133" t="s">
        <v>136</v>
      </c>
      <c r="C597" s="137">
        <f>C588/C595</f>
        <v>6.1890048596282263E-2</v>
      </c>
      <c r="D597" s="131"/>
      <c r="E597" s="131"/>
    </row>
    <row r="598" spans="1:5" ht="10.5" customHeight="1" x14ac:dyDescent="0.25">
      <c r="A598" s="131"/>
      <c r="B598" s="131"/>
      <c r="C598" s="131"/>
      <c r="D598" s="131"/>
      <c r="E598" s="131"/>
    </row>
    <row r="599" spans="1:5" ht="10.5" hidden="1" customHeight="1" x14ac:dyDescent="0.25">
      <c r="A599" s="131"/>
      <c r="B599" s="131"/>
      <c r="C599" s="131"/>
      <c r="D599" s="131"/>
      <c r="E599" s="131"/>
    </row>
    <row r="600" spans="1:5" ht="10.5" hidden="1" customHeight="1" x14ac:dyDescent="0.25">
      <c r="A600" s="131"/>
      <c r="B600" s="131"/>
      <c r="C600" s="131"/>
      <c r="D600" s="131"/>
      <c r="E600" s="131"/>
    </row>
    <row r="601" spans="1:5" ht="10.5" hidden="1" customHeight="1" x14ac:dyDescent="0.25">
      <c r="A601" s="131"/>
      <c r="B601" s="131"/>
      <c r="C601" s="131"/>
      <c r="D601" s="131"/>
      <c r="E601" s="131"/>
    </row>
    <row r="602" spans="1:5" ht="10.5" hidden="1" customHeight="1" x14ac:dyDescent="0.25">
      <c r="A602" s="131"/>
      <c r="B602" s="131"/>
      <c r="C602" s="131"/>
      <c r="D602" s="131"/>
      <c r="E602" s="131"/>
    </row>
    <row r="603" spans="1:5" ht="10.5" hidden="1" customHeight="1" x14ac:dyDescent="0.25">
      <c r="A603" s="131"/>
      <c r="B603" s="131"/>
      <c r="C603" s="131"/>
      <c r="D603" s="131"/>
      <c r="E603" s="131"/>
    </row>
    <row r="604" spans="1:5" ht="10.5" hidden="1" customHeight="1" x14ac:dyDescent="0.25">
      <c r="A604" s="131"/>
      <c r="B604" s="131"/>
      <c r="C604" s="131"/>
      <c r="D604" s="131"/>
      <c r="E604" s="131"/>
    </row>
    <row r="605" spans="1:5" ht="10.5" hidden="1" customHeight="1" x14ac:dyDescent="0.25">
      <c r="A605" s="131"/>
      <c r="B605" s="131"/>
      <c r="C605" s="131"/>
      <c r="D605" s="131"/>
      <c r="E605" s="131"/>
    </row>
    <row r="606" spans="1:5" ht="10.5" hidden="1" customHeight="1" x14ac:dyDescent="0.25">
      <c r="A606" s="131"/>
      <c r="B606" s="131"/>
      <c r="C606" s="131"/>
      <c r="D606" s="131"/>
      <c r="E606" s="131"/>
    </row>
    <row r="607" spans="1:5" ht="10.5" hidden="1" customHeight="1" x14ac:dyDescent="0.25">
      <c r="A607" s="131"/>
      <c r="B607" s="131"/>
      <c r="C607" s="131"/>
      <c r="D607" s="131"/>
      <c r="E607" s="131"/>
    </row>
    <row r="608" spans="1:5" ht="10.5" hidden="1" customHeight="1" x14ac:dyDescent="0.25">
      <c r="A608" s="131"/>
      <c r="B608" s="131"/>
      <c r="C608" s="131"/>
      <c r="D608" s="131"/>
      <c r="E608" s="131"/>
    </row>
    <row r="609" spans="1:5" ht="10.5" hidden="1" customHeight="1" x14ac:dyDescent="0.25">
      <c r="A609" s="131"/>
      <c r="B609" s="131"/>
      <c r="C609" s="131"/>
      <c r="D609" s="131"/>
      <c r="E609" s="131"/>
    </row>
    <row r="610" spans="1:5" ht="10.5" hidden="1" customHeight="1" x14ac:dyDescent="0.25">
      <c r="A610" s="131"/>
      <c r="B610" s="131"/>
      <c r="C610" s="131"/>
      <c r="D610" s="131"/>
      <c r="E610" s="131"/>
    </row>
    <row r="611" spans="1:5" ht="10.5" hidden="1" customHeight="1" x14ac:dyDescent="0.25">
      <c r="A611" s="131"/>
      <c r="B611" s="131"/>
      <c r="C611" s="131"/>
      <c r="D611" s="131"/>
      <c r="E611" s="131"/>
    </row>
    <row r="612" spans="1:5" ht="10.5" hidden="1" customHeight="1" x14ac:dyDescent="0.25">
      <c r="A612" s="131"/>
      <c r="B612" s="131"/>
      <c r="C612" s="131"/>
      <c r="D612" s="131"/>
      <c r="E612" s="131"/>
    </row>
    <row r="613" spans="1:5" ht="10.5" hidden="1" customHeight="1" x14ac:dyDescent="0.25">
      <c r="A613" s="131"/>
      <c r="B613" s="131"/>
      <c r="C613" s="131"/>
      <c r="D613" s="131"/>
      <c r="E613" s="131"/>
    </row>
    <row r="614" spans="1:5" ht="10.5" hidden="1" customHeight="1" x14ac:dyDescent="0.25">
      <c r="A614" s="131"/>
      <c r="B614" s="131"/>
      <c r="C614" s="131"/>
      <c r="D614" s="131"/>
      <c r="E614" s="131"/>
    </row>
    <row r="615" spans="1:5" ht="10.5" hidden="1" customHeight="1" x14ac:dyDescent="0.25">
      <c r="A615" s="131"/>
      <c r="B615" s="131"/>
      <c r="C615" s="131"/>
      <c r="D615" s="131"/>
      <c r="E615" s="131"/>
    </row>
    <row r="616" spans="1:5" ht="10.5" hidden="1" customHeight="1" x14ac:dyDescent="0.25">
      <c r="A616" s="131"/>
      <c r="B616" s="131"/>
      <c r="C616" s="131"/>
      <c r="D616" s="131"/>
      <c r="E616" s="131"/>
    </row>
    <row r="617" spans="1:5" ht="10.5" hidden="1" customHeight="1" x14ac:dyDescent="0.25">
      <c r="A617" s="131"/>
      <c r="B617" s="131"/>
      <c r="C617" s="131"/>
      <c r="D617" s="131"/>
      <c r="E617" s="131"/>
    </row>
    <row r="618" spans="1:5" ht="10.5" hidden="1" customHeight="1" x14ac:dyDescent="0.25">
      <c r="A618" s="131"/>
      <c r="B618" s="131"/>
      <c r="C618" s="131"/>
      <c r="D618" s="131"/>
      <c r="E618" s="131"/>
    </row>
    <row r="619" spans="1:5" ht="10.5" hidden="1" customHeight="1" x14ac:dyDescent="0.25">
      <c r="A619" s="131"/>
      <c r="B619" s="131"/>
      <c r="C619" s="131"/>
      <c r="D619" s="131"/>
      <c r="E619" s="131"/>
    </row>
    <row r="620" spans="1:5" ht="10.5" hidden="1" customHeight="1" x14ac:dyDescent="0.25">
      <c r="A620" s="131"/>
      <c r="B620" s="131"/>
      <c r="C620" s="131"/>
      <c r="D620" s="131"/>
      <c r="E620" s="131"/>
    </row>
    <row r="621" spans="1:5" ht="10.5" hidden="1" customHeight="1" x14ac:dyDescent="0.25">
      <c r="A621" s="131"/>
      <c r="B621" s="131"/>
      <c r="C621" s="131"/>
      <c r="D621" s="131"/>
      <c r="E621" s="131"/>
    </row>
    <row r="622" spans="1:5" ht="10.5" hidden="1" customHeight="1" x14ac:dyDescent="0.25">
      <c r="A622" s="131"/>
      <c r="B622" s="131"/>
      <c r="C622" s="131"/>
      <c r="D622" s="131"/>
      <c r="E622" s="131"/>
    </row>
    <row r="623" spans="1:5" ht="10.5" hidden="1" customHeight="1" x14ac:dyDescent="0.25">
      <c r="A623" s="131"/>
      <c r="B623" s="131"/>
      <c r="C623" s="131"/>
      <c r="D623" s="131"/>
      <c r="E623" s="131"/>
    </row>
    <row r="624" spans="1:5" ht="10.5" hidden="1" customHeight="1" x14ac:dyDescent="0.25">
      <c r="A624" s="131"/>
      <c r="B624" s="131"/>
      <c r="C624" s="131"/>
      <c r="D624" s="131"/>
      <c r="E624" s="131"/>
    </row>
    <row r="625" spans="1:8" ht="10.5" hidden="1" customHeight="1" x14ac:dyDescent="0.25">
      <c r="A625" s="131"/>
      <c r="B625" s="131"/>
      <c r="C625" s="131"/>
      <c r="D625" s="131"/>
      <c r="E625" s="131"/>
    </row>
    <row r="626" spans="1:8" ht="10.5" hidden="1" customHeight="1" x14ac:dyDescent="0.25">
      <c r="A626" s="131"/>
      <c r="B626" s="131"/>
      <c r="C626" s="131"/>
      <c r="D626" s="131"/>
      <c r="E626" s="131"/>
      <c r="F626" s="1"/>
      <c r="G626" s="1"/>
      <c r="H626" s="2"/>
    </row>
    <row r="627" spans="1:8" ht="10.5" hidden="1" customHeight="1" x14ac:dyDescent="0.25">
      <c r="A627" s="131"/>
      <c r="B627" s="131"/>
      <c r="C627" s="131"/>
      <c r="D627" s="131"/>
      <c r="E627" s="131"/>
      <c r="F627" s="1"/>
      <c r="G627" s="1"/>
      <c r="H627" s="2"/>
    </row>
    <row r="628" spans="1:8" ht="10.5" hidden="1" customHeight="1" x14ac:dyDescent="0.25">
      <c r="A628" s="131"/>
      <c r="B628" s="131"/>
      <c r="C628" s="131"/>
      <c r="D628" s="131"/>
      <c r="E628" s="131"/>
      <c r="F628" s="1"/>
      <c r="G628" s="1"/>
      <c r="H628" s="2"/>
    </row>
    <row r="629" spans="1:8" ht="10.5" hidden="1" customHeight="1" x14ac:dyDescent="0.25">
      <c r="A629" s="131"/>
      <c r="B629" s="131"/>
      <c r="C629" s="131"/>
      <c r="D629" s="131"/>
      <c r="E629" s="131"/>
      <c r="F629" s="1"/>
      <c r="G629" s="1"/>
      <c r="H629" s="2"/>
    </row>
    <row r="630" spans="1:8" ht="10.5" hidden="1" customHeight="1" x14ac:dyDescent="0.25">
      <c r="A630" s="131"/>
      <c r="B630" s="131"/>
      <c r="C630" s="131"/>
      <c r="D630" s="131"/>
      <c r="E630" s="131"/>
      <c r="F630" s="1"/>
      <c r="G630" s="1"/>
      <c r="H630" s="2"/>
    </row>
    <row r="631" spans="1:8" ht="10.5" hidden="1" customHeight="1" x14ac:dyDescent="0.25">
      <c r="A631" s="131"/>
      <c r="B631" s="131"/>
      <c r="C631" s="131"/>
      <c r="D631" s="131"/>
      <c r="E631" s="131"/>
      <c r="F631" s="1"/>
      <c r="G631" s="1"/>
      <c r="H631" s="2"/>
    </row>
    <row r="632" spans="1:8" ht="10.5" hidden="1" customHeight="1" x14ac:dyDescent="0.25">
      <c r="A632" s="131"/>
      <c r="B632" s="131"/>
      <c r="C632" s="131"/>
      <c r="D632" s="131"/>
      <c r="E632" s="131"/>
      <c r="F632" s="1"/>
      <c r="G632" s="1"/>
      <c r="H632" s="2"/>
    </row>
    <row r="633" spans="1:8" ht="10.5" hidden="1" customHeight="1" x14ac:dyDescent="0.25">
      <c r="A633" s="131"/>
      <c r="B633" s="131"/>
      <c r="C633" s="131"/>
      <c r="D633" s="131"/>
      <c r="E633" s="131"/>
      <c r="F633" s="1"/>
      <c r="G633" s="1"/>
      <c r="H633" s="2"/>
    </row>
    <row r="634" spans="1:8" ht="10.5" hidden="1" customHeight="1" x14ac:dyDescent="0.25">
      <c r="A634" s="131"/>
      <c r="B634" s="131"/>
      <c r="C634" s="131"/>
      <c r="D634" s="131"/>
      <c r="E634" s="131"/>
      <c r="F634" s="1"/>
      <c r="G634" s="1"/>
      <c r="H634" s="2"/>
    </row>
    <row r="635" spans="1:8" ht="10.5" hidden="1" customHeight="1" x14ac:dyDescent="0.25">
      <c r="A635" s="131"/>
      <c r="B635" s="131"/>
      <c r="C635" s="131"/>
      <c r="D635" s="131"/>
      <c r="E635" s="131"/>
      <c r="F635" s="1"/>
      <c r="G635" s="1"/>
      <c r="H635" s="2"/>
    </row>
    <row r="636" spans="1:8" ht="10.5" hidden="1" customHeight="1" x14ac:dyDescent="0.25">
      <c r="A636" s="131"/>
      <c r="B636" s="131"/>
      <c r="C636" s="131"/>
      <c r="D636" s="131"/>
      <c r="E636" s="131"/>
      <c r="F636" s="1"/>
      <c r="G636" s="1"/>
      <c r="H636" s="2"/>
    </row>
    <row r="637" spans="1:8" ht="10.5" hidden="1" customHeight="1" x14ac:dyDescent="0.25">
      <c r="A637" s="131"/>
      <c r="B637" s="131"/>
      <c r="C637" s="131"/>
      <c r="D637" s="131"/>
      <c r="E637" s="131"/>
      <c r="F637" s="1"/>
      <c r="G637" s="1"/>
      <c r="H637" s="2"/>
    </row>
    <row r="638" spans="1:8" ht="10.5" hidden="1" customHeight="1" x14ac:dyDescent="0.25">
      <c r="A638" s="131"/>
      <c r="B638" s="131"/>
      <c r="C638" s="131"/>
      <c r="D638" s="131"/>
      <c r="E638" s="131"/>
      <c r="F638" s="1"/>
      <c r="G638" s="1"/>
      <c r="H638" s="2"/>
    </row>
    <row r="639" spans="1:8" ht="10.5" hidden="1" customHeight="1" x14ac:dyDescent="0.25">
      <c r="A639" s="131"/>
      <c r="B639" s="131"/>
      <c r="C639" s="131"/>
      <c r="D639" s="131"/>
      <c r="E639" s="131"/>
      <c r="F639" s="1"/>
      <c r="G639" s="1"/>
      <c r="H639" s="2"/>
    </row>
    <row r="640" spans="1:8" s="129" customFormat="1" ht="12.95" customHeight="1" x14ac:dyDescent="0.25">
      <c r="A640" s="126"/>
      <c r="B640" s="127" t="s">
        <v>114</v>
      </c>
      <c r="C640" s="128" t="str">
        <f>A216</f>
        <v>Bonus 4.0 FAR</v>
      </c>
      <c r="D640" s="126"/>
      <c r="E640" s="126"/>
      <c r="H640" s="130"/>
    </row>
    <row r="641" spans="1:8" ht="10.5" customHeight="1" x14ac:dyDescent="0.25">
      <c r="A641" s="131"/>
      <c r="B641" s="131" t="s">
        <v>115</v>
      </c>
      <c r="C641" s="132">
        <f>H215</f>
        <v>175282.15384615384</v>
      </c>
      <c r="D641" s="131"/>
      <c r="E641" s="131"/>
      <c r="F641" s="1"/>
      <c r="G641" s="1"/>
      <c r="H641" s="2"/>
    </row>
    <row r="642" spans="1:8" ht="10.5" customHeight="1" x14ac:dyDescent="0.25">
      <c r="A642" s="131"/>
      <c r="B642" s="131" t="s">
        <v>116</v>
      </c>
      <c r="C642" s="132">
        <f>H217</f>
        <v>668220</v>
      </c>
      <c r="D642" s="131"/>
      <c r="E642" s="131"/>
    </row>
    <row r="643" spans="1:8" ht="10.5" customHeight="1" x14ac:dyDescent="0.25">
      <c r="A643" s="131"/>
      <c r="B643" s="131" t="s">
        <v>117</v>
      </c>
      <c r="C643" s="132">
        <f>G218</f>
        <v>950</v>
      </c>
      <c r="D643" s="131"/>
      <c r="E643" s="131"/>
    </row>
    <row r="644" spans="1:8" ht="10.5" customHeight="1" x14ac:dyDescent="0.25">
      <c r="A644" s="131"/>
      <c r="B644" s="131" t="s">
        <v>107</v>
      </c>
      <c r="C644" s="132">
        <f>H218</f>
        <v>703.38947368421054</v>
      </c>
      <c r="D644" s="131"/>
      <c r="E644" s="131"/>
    </row>
    <row r="645" spans="1:8" ht="10.5" customHeight="1" x14ac:dyDescent="0.25">
      <c r="A645" s="131"/>
      <c r="B645" s="131" t="s">
        <v>118</v>
      </c>
      <c r="C645" s="132">
        <f>H220</f>
        <v>48</v>
      </c>
      <c r="D645" s="131"/>
      <c r="E645" s="131"/>
    </row>
    <row r="646" spans="1:8" ht="10.5" customHeight="1" x14ac:dyDescent="0.25">
      <c r="A646" s="131"/>
      <c r="B646" s="131" t="s">
        <v>119</v>
      </c>
      <c r="C646" s="132">
        <f>H222</f>
        <v>142</v>
      </c>
      <c r="D646" s="131"/>
      <c r="E646" s="131"/>
    </row>
    <row r="647" spans="1:8" ht="10.5" customHeight="1" x14ac:dyDescent="0.25">
      <c r="A647" s="131"/>
      <c r="B647" s="131" t="s">
        <v>120</v>
      </c>
      <c r="C647" s="132">
        <f>H225</f>
        <v>0</v>
      </c>
      <c r="D647" s="131"/>
      <c r="E647" s="131"/>
    </row>
    <row r="648" spans="1:8" ht="10.5" customHeight="1" x14ac:dyDescent="0.25">
      <c r="A648" s="131"/>
      <c r="B648" s="131"/>
      <c r="C648" s="132"/>
      <c r="D648" s="131"/>
      <c r="E648" s="131"/>
    </row>
    <row r="649" spans="1:8" ht="10.5" customHeight="1" x14ac:dyDescent="0.25">
      <c r="A649" s="131"/>
      <c r="B649" s="133" t="s">
        <v>121</v>
      </c>
      <c r="C649" s="132"/>
      <c r="D649" s="131"/>
      <c r="E649" s="131"/>
    </row>
    <row r="650" spans="1:8" ht="10.5" customHeight="1" x14ac:dyDescent="0.25">
      <c r="A650" s="131"/>
      <c r="B650" s="131" t="s">
        <v>122</v>
      </c>
      <c r="C650" s="134">
        <f>H234</f>
        <v>632597.76000000001</v>
      </c>
      <c r="D650" s="135" t="s">
        <v>123</v>
      </c>
      <c r="E650" s="134">
        <v>1098.26</v>
      </c>
    </row>
    <row r="651" spans="1:8" ht="10.5" customHeight="1" x14ac:dyDescent="0.25">
      <c r="A651" s="131"/>
      <c r="B651" s="131" t="s">
        <v>124</v>
      </c>
      <c r="C651" s="134">
        <f>H235</f>
        <v>885411.4844444443</v>
      </c>
      <c r="D651" s="135" t="s">
        <v>123</v>
      </c>
      <c r="E651" s="134">
        <v>784.93925925925919</v>
      </c>
    </row>
    <row r="652" spans="1:8" ht="10.5" customHeight="1" x14ac:dyDescent="0.25">
      <c r="A652" s="131"/>
      <c r="B652" s="131" t="s">
        <v>125</v>
      </c>
      <c r="C652" s="136">
        <f>H233</f>
        <v>19903158</v>
      </c>
      <c r="D652" s="135" t="s">
        <v>123</v>
      </c>
      <c r="E652" s="134">
        <v>2956.5</v>
      </c>
    </row>
    <row r="653" spans="1:8" ht="10.5" customHeight="1" x14ac:dyDescent="0.25">
      <c r="A653" s="131"/>
      <c r="B653" s="131" t="s">
        <v>126</v>
      </c>
      <c r="C653" s="136">
        <f>H238</f>
        <v>1582626.3157894739</v>
      </c>
      <c r="D653" s="135"/>
      <c r="E653" s="134"/>
    </row>
    <row r="654" spans="1:8" ht="10.5" customHeight="1" x14ac:dyDescent="0.25">
      <c r="A654" s="131"/>
      <c r="B654" s="131" t="s">
        <v>127</v>
      </c>
      <c r="C654" s="136">
        <f>H247</f>
        <v>-995157.9</v>
      </c>
      <c r="D654" s="135"/>
      <c r="E654" s="134"/>
    </row>
    <row r="655" spans="1:8" ht="10.5" customHeight="1" x14ac:dyDescent="0.25">
      <c r="A655" s="131"/>
      <c r="B655" s="131" t="s">
        <v>128</v>
      </c>
      <c r="C655" s="136">
        <f>H257</f>
        <v>-7524866.7406578949</v>
      </c>
      <c r="D655" s="131"/>
      <c r="E655" s="131"/>
    </row>
    <row r="656" spans="1:8" ht="10.5" customHeight="1" x14ac:dyDescent="0.25">
      <c r="A656" s="131"/>
      <c r="B656" s="131" t="s">
        <v>129</v>
      </c>
      <c r="C656" s="134">
        <f>SUM(C650:C655)</f>
        <v>14483768.919576023</v>
      </c>
      <c r="D656" s="131"/>
      <c r="E656" s="131"/>
    </row>
    <row r="657" spans="1:5" ht="10.5" customHeight="1" x14ac:dyDescent="0.25">
      <c r="A657" s="131"/>
      <c r="B657" s="131"/>
      <c r="C657" s="131"/>
      <c r="D657" s="131"/>
      <c r="E657" s="131"/>
    </row>
    <row r="658" spans="1:5" ht="10.5" customHeight="1" x14ac:dyDescent="0.25">
      <c r="A658" s="131"/>
      <c r="B658" s="133" t="s">
        <v>130</v>
      </c>
      <c r="C658" s="131"/>
      <c r="D658" s="131"/>
      <c r="E658" s="131"/>
    </row>
    <row r="659" spans="1:5" ht="10.5" customHeight="1" x14ac:dyDescent="0.25">
      <c r="A659" s="131"/>
      <c r="B659" s="131" t="s">
        <v>131</v>
      </c>
      <c r="C659" s="136">
        <f>H271+H273</f>
        <v>190597445.68421057</v>
      </c>
      <c r="D659" s="131"/>
      <c r="E659" s="131"/>
    </row>
    <row r="660" spans="1:5" ht="10.5" customHeight="1" x14ac:dyDescent="0.25">
      <c r="A660" s="131"/>
      <c r="B660" s="131" t="s">
        <v>132</v>
      </c>
      <c r="C660" s="136">
        <f>H269</f>
        <v>12269750.76923077</v>
      </c>
      <c r="D660" s="131"/>
      <c r="E660" s="131"/>
    </row>
    <row r="661" spans="1:5" ht="10.5" customHeight="1" x14ac:dyDescent="0.25">
      <c r="A661" s="131"/>
      <c r="B661" s="131" t="s">
        <v>133</v>
      </c>
      <c r="C661" s="136">
        <f>H274</f>
        <v>34400000</v>
      </c>
      <c r="D661" s="131"/>
      <c r="E661" s="131"/>
    </row>
    <row r="662" spans="1:5" ht="10.5" customHeight="1" x14ac:dyDescent="0.25">
      <c r="A662" s="131"/>
      <c r="B662" s="131" t="s">
        <v>113</v>
      </c>
      <c r="C662" s="136">
        <f>H270</f>
        <v>0</v>
      </c>
      <c r="D662" s="131"/>
      <c r="E662" s="131"/>
    </row>
    <row r="663" spans="1:5" ht="10.5" customHeight="1" x14ac:dyDescent="0.25">
      <c r="A663" s="131"/>
      <c r="B663" s="131" t="s">
        <v>134</v>
      </c>
      <c r="C663" s="136">
        <f>SUM(C659:C662)</f>
        <v>237267196.45344135</v>
      </c>
      <c r="D663" s="135" t="s">
        <v>135</v>
      </c>
      <c r="E663" s="136">
        <f>C663/C644</f>
        <v>337319.79981259059</v>
      </c>
    </row>
    <row r="664" spans="1:5" ht="10.5" customHeight="1" x14ac:dyDescent="0.25">
      <c r="A664" s="131"/>
      <c r="B664" s="131"/>
      <c r="C664" s="131"/>
      <c r="D664" s="131"/>
      <c r="E664" s="131"/>
    </row>
    <row r="665" spans="1:5" ht="10.5" customHeight="1" x14ac:dyDescent="0.25">
      <c r="A665" s="131"/>
      <c r="B665" s="133" t="s">
        <v>136</v>
      </c>
      <c r="C665" s="137">
        <f>C656/C663</f>
        <v>6.1044127195299648E-2</v>
      </c>
      <c r="D665" s="131"/>
      <c r="E665" s="131"/>
    </row>
    <row r="666" spans="1:5" ht="10.5" customHeight="1" x14ac:dyDescent="0.25">
      <c r="A666" s="131"/>
      <c r="B666" s="131"/>
      <c r="C666" s="131"/>
      <c r="D666" s="131"/>
      <c r="E666" s="131"/>
    </row>
    <row r="667" spans="1:5" ht="10.5" hidden="1" customHeight="1" x14ac:dyDescent="0.25">
      <c r="A667" s="131"/>
      <c r="B667" s="131"/>
      <c r="C667" s="131"/>
      <c r="D667" s="131"/>
      <c r="E667" s="131"/>
    </row>
    <row r="668" spans="1:5" ht="10.5" hidden="1" customHeight="1" x14ac:dyDescent="0.25">
      <c r="A668" s="131"/>
      <c r="B668" s="131"/>
      <c r="C668" s="131"/>
      <c r="D668" s="131"/>
      <c r="E668" s="131"/>
    </row>
    <row r="669" spans="1:5" ht="10.5" hidden="1" customHeight="1" x14ac:dyDescent="0.25">
      <c r="A669" s="131"/>
      <c r="B669" s="131"/>
      <c r="C669" s="131"/>
      <c r="D669" s="131"/>
      <c r="E669" s="131"/>
    </row>
    <row r="670" spans="1:5" ht="10.5" hidden="1" customHeight="1" x14ac:dyDescent="0.25">
      <c r="A670" s="131"/>
      <c r="B670" s="131"/>
      <c r="C670" s="131"/>
      <c r="D670" s="131"/>
      <c r="E670" s="131"/>
    </row>
    <row r="671" spans="1:5" ht="10.5" hidden="1" customHeight="1" x14ac:dyDescent="0.25">
      <c r="A671" s="131"/>
      <c r="B671" s="131"/>
      <c r="C671" s="131"/>
      <c r="D671" s="131"/>
      <c r="E671" s="131"/>
    </row>
    <row r="672" spans="1:5" ht="10.5" hidden="1" customHeight="1" x14ac:dyDescent="0.25">
      <c r="A672" s="131"/>
      <c r="B672" s="131"/>
      <c r="C672" s="131"/>
      <c r="D672" s="131"/>
      <c r="E672" s="131"/>
    </row>
    <row r="673" spans="1:5" ht="10.5" hidden="1" customHeight="1" x14ac:dyDescent="0.25">
      <c r="A673" s="131"/>
      <c r="B673" s="131"/>
      <c r="C673" s="131"/>
      <c r="D673" s="131"/>
      <c r="E673" s="131"/>
    </row>
    <row r="674" spans="1:5" ht="10.5" hidden="1" customHeight="1" x14ac:dyDescent="0.25">
      <c r="A674" s="131"/>
      <c r="B674" s="131"/>
      <c r="C674" s="131"/>
      <c r="D674" s="131"/>
      <c r="E674" s="131"/>
    </row>
    <row r="675" spans="1:5" ht="10.5" hidden="1" customHeight="1" x14ac:dyDescent="0.25">
      <c r="A675" s="131"/>
      <c r="B675" s="131"/>
      <c r="C675" s="131"/>
      <c r="D675" s="131"/>
      <c r="E675" s="131"/>
    </row>
    <row r="676" spans="1:5" ht="10.5" hidden="1" customHeight="1" x14ac:dyDescent="0.25">
      <c r="A676" s="131"/>
      <c r="B676" s="131"/>
      <c r="C676" s="131"/>
      <c r="D676" s="131"/>
      <c r="E676" s="131"/>
    </row>
    <row r="677" spans="1:5" ht="10.5" hidden="1" customHeight="1" x14ac:dyDescent="0.25">
      <c r="A677" s="131"/>
      <c r="B677" s="131"/>
      <c r="C677" s="131"/>
      <c r="D677" s="131"/>
      <c r="E677" s="131"/>
    </row>
    <row r="678" spans="1:5" ht="10.5" hidden="1" customHeight="1" x14ac:dyDescent="0.25">
      <c r="A678" s="131"/>
      <c r="B678" s="131"/>
      <c r="C678" s="131"/>
      <c r="D678" s="131"/>
      <c r="E678" s="131"/>
    </row>
    <row r="679" spans="1:5" ht="10.5" hidden="1" customHeight="1" x14ac:dyDescent="0.25">
      <c r="A679" s="131"/>
      <c r="B679" s="131"/>
      <c r="C679" s="131"/>
      <c r="D679" s="131"/>
      <c r="E679" s="131"/>
    </row>
    <row r="680" spans="1:5" ht="10.5" hidden="1" customHeight="1" x14ac:dyDescent="0.25">
      <c r="A680" s="131"/>
      <c r="B680" s="131"/>
      <c r="C680" s="131"/>
      <c r="D680" s="131"/>
      <c r="E680" s="131"/>
    </row>
    <row r="681" spans="1:5" ht="10.5" hidden="1" customHeight="1" x14ac:dyDescent="0.25">
      <c r="A681" s="131"/>
      <c r="B681" s="131"/>
      <c r="C681" s="131"/>
      <c r="D681" s="131"/>
      <c r="E681" s="131"/>
    </row>
    <row r="682" spans="1:5" ht="10.5" hidden="1" customHeight="1" x14ac:dyDescent="0.25">
      <c r="A682" s="131"/>
      <c r="B682" s="131"/>
      <c r="C682" s="131"/>
      <c r="D682" s="131"/>
      <c r="E682" s="131"/>
    </row>
    <row r="683" spans="1:5" ht="10.5" hidden="1" customHeight="1" x14ac:dyDescent="0.25">
      <c r="A683" s="131"/>
      <c r="B683" s="131"/>
      <c r="C683" s="131"/>
      <c r="D683" s="131"/>
      <c r="E683" s="131"/>
    </row>
    <row r="684" spans="1:5" ht="10.5" hidden="1" customHeight="1" x14ac:dyDescent="0.25">
      <c r="A684" s="131"/>
      <c r="B684" s="131"/>
      <c r="C684" s="131"/>
      <c r="D684" s="131"/>
      <c r="E684" s="131"/>
    </row>
    <row r="685" spans="1:5" ht="10.5" hidden="1" customHeight="1" x14ac:dyDescent="0.25">
      <c r="A685" s="131"/>
      <c r="B685" s="131"/>
      <c r="C685" s="131"/>
      <c r="D685" s="131"/>
      <c r="E685" s="131"/>
    </row>
    <row r="686" spans="1:5" ht="10.5" hidden="1" customHeight="1" x14ac:dyDescent="0.25">
      <c r="A686" s="131"/>
      <c r="B686" s="131"/>
      <c r="C686" s="131"/>
      <c r="D686" s="131"/>
      <c r="E686" s="131"/>
    </row>
    <row r="687" spans="1:5" ht="10.5" hidden="1" customHeight="1" x14ac:dyDescent="0.25">
      <c r="A687" s="131"/>
      <c r="B687" s="131"/>
      <c r="C687" s="131"/>
      <c r="D687" s="131"/>
      <c r="E687" s="131"/>
    </row>
    <row r="688" spans="1:5" ht="10.5" hidden="1" customHeight="1" x14ac:dyDescent="0.25">
      <c r="A688" s="131"/>
      <c r="B688" s="131"/>
      <c r="C688" s="131"/>
      <c r="D688" s="131"/>
      <c r="E688" s="131"/>
    </row>
    <row r="689" spans="1:5" ht="10.5" hidden="1" customHeight="1" x14ac:dyDescent="0.25">
      <c r="A689" s="131"/>
      <c r="B689" s="131"/>
      <c r="C689" s="131"/>
      <c r="D689" s="131"/>
      <c r="E689" s="131"/>
    </row>
    <row r="690" spans="1:5" ht="10.5" hidden="1" customHeight="1" x14ac:dyDescent="0.25">
      <c r="A690" s="131"/>
      <c r="B690" s="131"/>
      <c r="C690" s="131"/>
      <c r="D690" s="131"/>
      <c r="E690" s="131"/>
    </row>
    <row r="691" spans="1:5" ht="10.5" hidden="1" customHeight="1" x14ac:dyDescent="0.25">
      <c r="A691" s="131"/>
      <c r="B691" s="131"/>
      <c r="C691" s="131"/>
      <c r="D691" s="131"/>
      <c r="E691" s="131"/>
    </row>
    <row r="692" spans="1:5" ht="10.5" hidden="1" customHeight="1" x14ac:dyDescent="0.25">
      <c r="A692" s="131"/>
      <c r="B692" s="131"/>
      <c r="C692" s="131"/>
      <c r="D692" s="131"/>
      <c r="E692" s="131"/>
    </row>
    <row r="693" spans="1:5" ht="10.5" hidden="1" customHeight="1" x14ac:dyDescent="0.25">
      <c r="A693" s="131"/>
      <c r="B693" s="131"/>
      <c r="C693" s="131"/>
      <c r="D693" s="131"/>
      <c r="E693" s="131"/>
    </row>
    <row r="694" spans="1:5" ht="10.5" hidden="1" customHeight="1" x14ac:dyDescent="0.25">
      <c r="A694" s="131"/>
      <c r="B694" s="131"/>
      <c r="C694" s="131"/>
      <c r="D694" s="131"/>
      <c r="E694" s="131"/>
    </row>
    <row r="695" spans="1:5" ht="10.5" hidden="1" customHeight="1" x14ac:dyDescent="0.25">
      <c r="A695" s="131"/>
      <c r="B695" s="131"/>
      <c r="C695" s="131"/>
      <c r="D695" s="131"/>
      <c r="E695" s="131"/>
    </row>
    <row r="696" spans="1:5" ht="10.5" hidden="1" customHeight="1" x14ac:dyDescent="0.25">
      <c r="A696" s="131"/>
      <c r="B696" s="131"/>
      <c r="C696" s="131"/>
      <c r="D696" s="131"/>
      <c r="E696" s="131"/>
    </row>
    <row r="697" spans="1:5" ht="10.5" hidden="1" customHeight="1" x14ac:dyDescent="0.25">
      <c r="A697" s="131"/>
      <c r="B697" s="131"/>
      <c r="C697" s="131"/>
      <c r="D697" s="131"/>
      <c r="E697" s="131"/>
    </row>
    <row r="698" spans="1:5" ht="10.5" hidden="1" customHeight="1" x14ac:dyDescent="0.25">
      <c r="A698" s="131"/>
      <c r="B698" s="131"/>
      <c r="C698" s="131"/>
      <c r="D698" s="131"/>
      <c r="E698" s="131"/>
    </row>
    <row r="699" spans="1:5" ht="10.5" hidden="1" customHeight="1" x14ac:dyDescent="0.25">
      <c r="A699" s="131"/>
      <c r="B699" s="131"/>
      <c r="C699" s="131"/>
      <c r="D699" s="131"/>
      <c r="E699" s="131"/>
    </row>
    <row r="700" spans="1:5" ht="10.5" hidden="1" customHeight="1" x14ac:dyDescent="0.25">
      <c r="A700" s="131"/>
      <c r="B700" s="131"/>
      <c r="C700" s="131"/>
      <c r="D700" s="131"/>
      <c r="E700" s="131"/>
    </row>
    <row r="701" spans="1:5" ht="10.5" hidden="1" customHeight="1" x14ac:dyDescent="0.25">
      <c r="A701" s="131"/>
      <c r="B701" s="131"/>
      <c r="C701" s="131"/>
      <c r="D701" s="131"/>
      <c r="E701" s="131"/>
    </row>
    <row r="702" spans="1:5" ht="10.5" hidden="1" customHeight="1" x14ac:dyDescent="0.25">
      <c r="A702" s="131"/>
      <c r="B702" s="131"/>
      <c r="C702" s="131"/>
      <c r="D702" s="131"/>
      <c r="E702" s="131"/>
    </row>
    <row r="703" spans="1:5" ht="10.5" hidden="1" customHeight="1" x14ac:dyDescent="0.25">
      <c r="A703" s="131"/>
      <c r="B703" s="131"/>
      <c r="C703" s="131"/>
      <c r="D703" s="131"/>
      <c r="E703" s="131"/>
    </row>
    <row r="704" spans="1:5" ht="10.5" hidden="1" customHeight="1" x14ac:dyDescent="0.25">
      <c r="A704" s="131"/>
      <c r="B704" s="131"/>
      <c r="C704" s="131"/>
      <c r="D704" s="131"/>
      <c r="E704" s="131"/>
    </row>
    <row r="705" spans="1:8" ht="10.5" hidden="1" customHeight="1" x14ac:dyDescent="0.25">
      <c r="A705" s="131"/>
      <c r="B705" s="131"/>
      <c r="C705" s="131"/>
      <c r="D705" s="131"/>
      <c r="E705" s="131"/>
    </row>
    <row r="706" spans="1:8" ht="10.5" hidden="1" customHeight="1" x14ac:dyDescent="0.25">
      <c r="A706" s="131"/>
      <c r="B706" s="131"/>
      <c r="C706" s="131"/>
      <c r="D706" s="131"/>
      <c r="E706" s="131"/>
      <c r="F706" s="1"/>
      <c r="G706" s="1"/>
      <c r="H706" s="2"/>
    </row>
    <row r="707" spans="1:8" ht="10.5" hidden="1" customHeight="1" x14ac:dyDescent="0.25">
      <c r="A707" s="131"/>
      <c r="B707" s="131"/>
      <c r="C707" s="131"/>
      <c r="D707" s="131"/>
      <c r="E707" s="131"/>
      <c r="F707" s="1"/>
      <c r="G707" s="1"/>
      <c r="H707" s="2"/>
    </row>
    <row r="708" spans="1:8" s="129" customFormat="1" ht="12.95" customHeight="1" x14ac:dyDescent="0.25">
      <c r="A708" s="126"/>
      <c r="B708" s="127" t="s">
        <v>114</v>
      </c>
      <c r="C708" s="128" t="str">
        <f>A284</f>
        <v>Bonus 5.0 FAR</v>
      </c>
      <c r="D708" s="126"/>
      <c r="E708" s="126"/>
      <c r="H708" s="130"/>
    </row>
    <row r="709" spans="1:8" ht="10.5" customHeight="1" x14ac:dyDescent="0.25">
      <c r="A709" s="131"/>
      <c r="B709" s="131" t="s">
        <v>115</v>
      </c>
      <c r="C709" s="132">
        <f>H283</f>
        <v>50375</v>
      </c>
      <c r="D709" s="131"/>
      <c r="E709" s="131"/>
      <c r="F709" s="1"/>
      <c r="G709" s="1"/>
      <c r="H709" s="2"/>
    </row>
    <row r="710" spans="1:8" ht="10.5" customHeight="1" x14ac:dyDescent="0.25">
      <c r="A710" s="131"/>
      <c r="B710" s="131" t="s">
        <v>116</v>
      </c>
      <c r="C710" s="132">
        <f>H285</f>
        <v>239745</v>
      </c>
      <c r="D710" s="131"/>
      <c r="E710" s="131"/>
      <c r="F710" s="1"/>
      <c r="G710" s="1"/>
      <c r="H710" s="2"/>
    </row>
    <row r="711" spans="1:8" ht="10.5" customHeight="1" x14ac:dyDescent="0.25">
      <c r="A711" s="131"/>
      <c r="B711" s="131" t="s">
        <v>117</v>
      </c>
      <c r="C711" s="132">
        <f>G286</f>
        <v>950</v>
      </c>
      <c r="D711" s="131"/>
      <c r="E711" s="131"/>
      <c r="F711" s="1"/>
      <c r="G711" s="1"/>
      <c r="H711" s="2"/>
    </row>
    <row r="712" spans="1:8" ht="10.5" customHeight="1" x14ac:dyDescent="0.25">
      <c r="A712" s="131"/>
      <c r="B712" s="131" t="s">
        <v>107</v>
      </c>
      <c r="C712" s="132">
        <f>H286</f>
        <v>252.36315789473684</v>
      </c>
      <c r="D712" s="131"/>
      <c r="E712" s="131"/>
      <c r="F712" s="1"/>
      <c r="G712" s="1"/>
      <c r="H712" s="2"/>
    </row>
    <row r="713" spans="1:8" ht="10.5" customHeight="1" x14ac:dyDescent="0.25">
      <c r="A713" s="131"/>
      <c r="B713" s="131" t="s">
        <v>118</v>
      </c>
      <c r="C713" s="132">
        <f>H288</f>
        <v>13.786842105263158</v>
      </c>
      <c r="D713" s="131"/>
      <c r="E713" s="131"/>
      <c r="F713" s="1"/>
      <c r="G713" s="1"/>
      <c r="H713" s="2"/>
    </row>
    <row r="714" spans="1:8" ht="10.5" customHeight="1" x14ac:dyDescent="0.25">
      <c r="A714" s="131"/>
      <c r="B714" s="131" t="s">
        <v>119</v>
      </c>
      <c r="C714" s="132">
        <f>H290</f>
        <v>54.786842105263162</v>
      </c>
      <c r="D714" s="131"/>
      <c r="E714" s="131"/>
      <c r="F714" s="1"/>
      <c r="G714" s="1"/>
      <c r="H714" s="2"/>
    </row>
    <row r="715" spans="1:8" ht="10.5" customHeight="1" x14ac:dyDescent="0.25">
      <c r="A715" s="131"/>
      <c r="B715" s="131" t="s">
        <v>120</v>
      </c>
      <c r="C715" s="132">
        <f>H293</f>
        <v>0</v>
      </c>
      <c r="D715" s="131"/>
      <c r="E715" s="131"/>
      <c r="F715" s="1"/>
      <c r="G715" s="1"/>
      <c r="H715" s="2"/>
    </row>
    <row r="716" spans="1:8" ht="10.5" customHeight="1" x14ac:dyDescent="0.25">
      <c r="A716" s="131"/>
      <c r="B716" s="131"/>
      <c r="C716" s="132"/>
      <c r="D716" s="131"/>
      <c r="E716" s="131"/>
      <c r="F716" s="1"/>
      <c r="G716" s="1"/>
      <c r="H716" s="2"/>
    </row>
    <row r="717" spans="1:8" ht="10.5" customHeight="1" x14ac:dyDescent="0.25">
      <c r="A717" s="131"/>
      <c r="B717" s="133" t="s">
        <v>121</v>
      </c>
      <c r="C717" s="132"/>
      <c r="D717" s="131"/>
      <c r="E717" s="131"/>
      <c r="F717" s="1"/>
      <c r="G717" s="1"/>
      <c r="H717" s="2"/>
    </row>
    <row r="718" spans="1:8" ht="10.5" customHeight="1" x14ac:dyDescent="0.25">
      <c r="A718" s="131"/>
      <c r="B718" s="131" t="s">
        <v>122</v>
      </c>
      <c r="C718" s="134">
        <f>H302</f>
        <v>181698.44652631579</v>
      </c>
      <c r="D718" s="135" t="s">
        <v>123</v>
      </c>
      <c r="E718" s="134">
        <v>1098.26</v>
      </c>
      <c r="F718" s="1"/>
      <c r="G718" s="1"/>
      <c r="H718" s="2"/>
    </row>
    <row r="719" spans="1:8" ht="10.5" customHeight="1" x14ac:dyDescent="0.25">
      <c r="A719" s="131"/>
      <c r="B719" s="131" t="s">
        <v>124</v>
      </c>
      <c r="C719" s="134">
        <f>H303</f>
        <v>386190.1155555555</v>
      </c>
      <c r="D719" s="135" t="s">
        <v>123</v>
      </c>
      <c r="E719" s="134">
        <v>784.93925925925919</v>
      </c>
      <c r="F719" s="1"/>
      <c r="G719" s="1"/>
      <c r="H719" s="2"/>
    </row>
    <row r="720" spans="1:8" ht="10.5" customHeight="1" x14ac:dyDescent="0.25">
      <c r="A720" s="131"/>
      <c r="B720" s="131" t="s">
        <v>125</v>
      </c>
      <c r="C720" s="136">
        <f>H301</f>
        <v>7024644</v>
      </c>
      <c r="D720" s="135" t="s">
        <v>123</v>
      </c>
      <c r="E720" s="134">
        <v>2956.5</v>
      </c>
      <c r="F720" s="1"/>
      <c r="G720" s="1"/>
      <c r="H720" s="2"/>
    </row>
    <row r="721" spans="1:8" ht="10.5" customHeight="1" x14ac:dyDescent="0.25">
      <c r="A721" s="131"/>
      <c r="B721" s="131" t="s">
        <v>126</v>
      </c>
      <c r="C721" s="136">
        <f>H306</f>
        <v>567817.10526315798</v>
      </c>
      <c r="D721" s="135"/>
      <c r="E721" s="134"/>
      <c r="F721" s="1"/>
      <c r="G721" s="1"/>
      <c r="H721" s="2"/>
    </row>
    <row r="722" spans="1:8" ht="10.5" customHeight="1" x14ac:dyDescent="0.25">
      <c r="A722" s="131"/>
      <c r="B722" s="131" t="s">
        <v>127</v>
      </c>
      <c r="C722" s="136">
        <f>H315</f>
        <v>-351232.2</v>
      </c>
      <c r="D722" s="135"/>
      <c r="E722" s="134"/>
    </row>
    <row r="723" spans="1:8" ht="10.5" customHeight="1" x14ac:dyDescent="0.25">
      <c r="A723" s="131"/>
      <c r="B723" s="131" t="s">
        <v>128</v>
      </c>
      <c r="C723" s="136">
        <f>H325</f>
        <v>-2684641.9316644734</v>
      </c>
      <c r="D723" s="131"/>
      <c r="E723" s="131"/>
    </row>
    <row r="724" spans="1:8" ht="10.5" customHeight="1" x14ac:dyDescent="0.25">
      <c r="A724" s="131"/>
      <c r="B724" s="131" t="s">
        <v>129</v>
      </c>
      <c r="C724" s="134">
        <f>SUM(C718:C723)</f>
        <v>5124475.5356805557</v>
      </c>
      <c r="D724" s="131"/>
      <c r="E724" s="131"/>
    </row>
    <row r="725" spans="1:8" ht="10.5" customHeight="1" x14ac:dyDescent="0.25">
      <c r="A725" s="131"/>
      <c r="B725" s="131"/>
      <c r="C725" s="131"/>
      <c r="D725" s="131"/>
      <c r="E725" s="131"/>
    </row>
    <row r="726" spans="1:8" ht="10.5" customHeight="1" x14ac:dyDescent="0.25">
      <c r="A726" s="131"/>
      <c r="B726" s="133" t="s">
        <v>130</v>
      </c>
      <c r="C726" s="131"/>
      <c r="D726" s="131"/>
      <c r="E726" s="131"/>
    </row>
    <row r="727" spans="1:8" ht="10.5" customHeight="1" x14ac:dyDescent="0.25">
      <c r="A727" s="131"/>
      <c r="B727" s="131" t="s">
        <v>131</v>
      </c>
      <c r="C727" s="136">
        <f>H339+H341</f>
        <v>68382844.894736856</v>
      </c>
      <c r="D727" s="131"/>
      <c r="E727" s="131"/>
    </row>
    <row r="728" spans="1:8" ht="10.5" customHeight="1" x14ac:dyDescent="0.25">
      <c r="A728" s="131"/>
      <c r="B728" s="131" t="s">
        <v>132</v>
      </c>
      <c r="C728" s="136">
        <f>H337</f>
        <v>3526250</v>
      </c>
      <c r="D728" s="131"/>
      <c r="E728" s="131"/>
    </row>
    <row r="729" spans="1:8" ht="10.5" customHeight="1" x14ac:dyDescent="0.25">
      <c r="A729" s="131"/>
      <c r="B729" s="131" t="s">
        <v>133</v>
      </c>
      <c r="C729" s="136">
        <f>H342</f>
        <v>12400000</v>
      </c>
      <c r="D729" s="131"/>
      <c r="E729" s="131"/>
    </row>
    <row r="730" spans="1:8" ht="10.5" customHeight="1" x14ac:dyDescent="0.25">
      <c r="A730" s="131"/>
      <c r="B730" s="131" t="s">
        <v>113</v>
      </c>
      <c r="C730" s="136">
        <f>H338</f>
        <v>0</v>
      </c>
      <c r="D730" s="131"/>
      <c r="E730" s="131"/>
    </row>
    <row r="731" spans="1:8" ht="10.5" customHeight="1" x14ac:dyDescent="0.25">
      <c r="A731" s="131"/>
      <c r="B731" s="131" t="s">
        <v>134</v>
      </c>
      <c r="C731" s="136">
        <f>SUM(C727:C730)</f>
        <v>84309094.894736856</v>
      </c>
      <c r="D731" s="135" t="s">
        <v>135</v>
      </c>
      <c r="E731" s="136">
        <f>C731/C712</f>
        <v>334078.45898767444</v>
      </c>
    </row>
    <row r="732" spans="1:8" ht="10.5" customHeight="1" x14ac:dyDescent="0.25">
      <c r="A732" s="131"/>
      <c r="B732" s="131"/>
      <c r="C732" s="131"/>
      <c r="D732" s="131"/>
      <c r="E732" s="131"/>
    </row>
    <row r="733" spans="1:8" ht="10.5" customHeight="1" x14ac:dyDescent="0.25">
      <c r="A733" s="131"/>
      <c r="B733" s="133" t="s">
        <v>136</v>
      </c>
      <c r="C733" s="137">
        <f>C724/C731</f>
        <v>6.0782001539438427E-2</v>
      </c>
      <c r="D733" s="131"/>
      <c r="E733" s="131"/>
    </row>
    <row r="734" spans="1:8" ht="10.5" customHeight="1" x14ac:dyDescent="0.25">
      <c r="A734" s="131"/>
      <c r="B734" s="131"/>
      <c r="C734" s="131"/>
      <c r="D734" s="131"/>
      <c r="E734" s="131"/>
    </row>
    <row r="735" spans="1:8" ht="10.5" hidden="1" customHeight="1" x14ac:dyDescent="0.25">
      <c r="A735" s="131"/>
      <c r="B735" s="131"/>
      <c r="C735" s="131"/>
      <c r="D735" s="131"/>
      <c r="E735" s="131"/>
    </row>
    <row r="736" spans="1:8" ht="10.5" hidden="1" customHeight="1" x14ac:dyDescent="0.25">
      <c r="A736" s="131"/>
      <c r="B736" s="131"/>
      <c r="C736" s="131"/>
      <c r="D736" s="131"/>
      <c r="E736" s="131"/>
    </row>
    <row r="737" spans="1:5" ht="10.5" hidden="1" customHeight="1" x14ac:dyDescent="0.25">
      <c r="A737" s="131"/>
      <c r="B737" s="131"/>
      <c r="C737" s="131"/>
      <c r="D737" s="131"/>
      <c r="E737" s="131"/>
    </row>
    <row r="738" spans="1:5" ht="10.5" hidden="1" customHeight="1" x14ac:dyDescent="0.25">
      <c r="A738" s="131"/>
      <c r="B738" s="131"/>
      <c r="C738" s="131"/>
      <c r="D738" s="131"/>
      <c r="E738" s="131"/>
    </row>
    <row r="739" spans="1:5" ht="10.5" hidden="1" customHeight="1" x14ac:dyDescent="0.25">
      <c r="A739" s="131"/>
      <c r="B739" s="131"/>
      <c r="C739" s="131"/>
      <c r="D739" s="131"/>
      <c r="E739" s="131"/>
    </row>
    <row r="740" spans="1:5" ht="10.5" hidden="1" customHeight="1" x14ac:dyDescent="0.25">
      <c r="A740" s="131"/>
      <c r="B740" s="131"/>
      <c r="C740" s="131"/>
      <c r="D740" s="131"/>
      <c r="E740" s="131"/>
    </row>
    <row r="741" spans="1:5" ht="10.5" hidden="1" customHeight="1" x14ac:dyDescent="0.25">
      <c r="A741" s="131"/>
      <c r="B741" s="131"/>
      <c r="C741" s="131"/>
      <c r="D741" s="131"/>
      <c r="E741" s="131"/>
    </row>
    <row r="742" spans="1:5" ht="10.5" hidden="1" customHeight="1" x14ac:dyDescent="0.25">
      <c r="A742" s="131"/>
      <c r="B742" s="131"/>
      <c r="C742" s="131"/>
      <c r="D742" s="131"/>
      <c r="E742" s="131"/>
    </row>
    <row r="743" spans="1:5" ht="10.5" hidden="1" customHeight="1" x14ac:dyDescent="0.25">
      <c r="A743" s="131"/>
      <c r="B743" s="131"/>
      <c r="C743" s="131"/>
      <c r="D743" s="131"/>
      <c r="E743" s="131"/>
    </row>
    <row r="744" spans="1:5" ht="10.5" hidden="1" customHeight="1" x14ac:dyDescent="0.25">
      <c r="A744" s="131"/>
      <c r="B744" s="131"/>
      <c r="C744" s="131"/>
      <c r="D744" s="131"/>
      <c r="E744" s="131"/>
    </row>
    <row r="745" spans="1:5" ht="10.5" hidden="1" customHeight="1" x14ac:dyDescent="0.25">
      <c r="A745" s="131"/>
      <c r="B745" s="131"/>
      <c r="C745" s="131"/>
      <c r="D745" s="131"/>
      <c r="E745" s="131"/>
    </row>
    <row r="746" spans="1:5" ht="10.5" hidden="1" customHeight="1" x14ac:dyDescent="0.25">
      <c r="A746" s="131"/>
      <c r="B746" s="131"/>
      <c r="C746" s="131"/>
      <c r="D746" s="131"/>
      <c r="E746" s="131"/>
    </row>
    <row r="747" spans="1:5" ht="10.5" hidden="1" customHeight="1" x14ac:dyDescent="0.25">
      <c r="A747" s="131"/>
      <c r="B747" s="131"/>
      <c r="C747" s="131"/>
      <c r="D747" s="131"/>
      <c r="E747" s="131"/>
    </row>
    <row r="748" spans="1:5" ht="10.5" hidden="1" customHeight="1" x14ac:dyDescent="0.25">
      <c r="A748" s="131"/>
      <c r="B748" s="131"/>
      <c r="C748" s="131"/>
      <c r="D748" s="131"/>
      <c r="E748" s="131"/>
    </row>
    <row r="749" spans="1:5" ht="10.5" hidden="1" customHeight="1" x14ac:dyDescent="0.25">
      <c r="A749" s="131"/>
      <c r="B749" s="131"/>
      <c r="C749" s="131"/>
      <c r="D749" s="131"/>
      <c r="E749" s="131"/>
    </row>
    <row r="750" spans="1:5" ht="10.5" hidden="1" customHeight="1" x14ac:dyDescent="0.25">
      <c r="A750" s="131"/>
      <c r="B750" s="131"/>
      <c r="C750" s="131"/>
      <c r="D750" s="131"/>
      <c r="E750" s="131"/>
    </row>
    <row r="751" spans="1:5" ht="10.5" hidden="1" customHeight="1" x14ac:dyDescent="0.25">
      <c r="A751" s="131"/>
      <c r="B751" s="131"/>
      <c r="C751" s="131"/>
      <c r="D751" s="131"/>
      <c r="E751" s="131"/>
    </row>
    <row r="752" spans="1:5" ht="10.5" hidden="1" customHeight="1" x14ac:dyDescent="0.25">
      <c r="A752" s="131"/>
      <c r="B752" s="131"/>
      <c r="C752" s="131"/>
      <c r="D752" s="131"/>
      <c r="E752" s="131"/>
    </row>
    <row r="753" spans="1:5" ht="10.5" hidden="1" customHeight="1" x14ac:dyDescent="0.25">
      <c r="A753" s="131"/>
      <c r="B753" s="131"/>
      <c r="C753" s="131"/>
      <c r="D753" s="131"/>
      <c r="E753" s="131"/>
    </row>
    <row r="754" spans="1:5" ht="10.5" hidden="1" customHeight="1" x14ac:dyDescent="0.25">
      <c r="A754" s="131"/>
      <c r="B754" s="131"/>
      <c r="C754" s="131"/>
      <c r="D754" s="131"/>
      <c r="E754" s="131"/>
    </row>
    <row r="755" spans="1:5" ht="10.5" hidden="1" customHeight="1" x14ac:dyDescent="0.25">
      <c r="A755" s="131"/>
      <c r="B755" s="131"/>
      <c r="C755" s="131"/>
      <c r="D755" s="131"/>
      <c r="E755" s="131"/>
    </row>
    <row r="756" spans="1:5" ht="10.5" hidden="1" customHeight="1" x14ac:dyDescent="0.25">
      <c r="A756" s="131"/>
      <c r="B756" s="131"/>
      <c r="C756" s="131"/>
      <c r="D756" s="131"/>
      <c r="E756" s="131"/>
    </row>
    <row r="757" spans="1:5" ht="10.5" hidden="1" customHeight="1" x14ac:dyDescent="0.25">
      <c r="A757" s="131"/>
      <c r="B757" s="131"/>
      <c r="C757" s="131"/>
      <c r="D757" s="131"/>
      <c r="E757" s="131"/>
    </row>
    <row r="758" spans="1:5" ht="10.5" hidden="1" customHeight="1" x14ac:dyDescent="0.25">
      <c r="A758" s="131"/>
      <c r="B758" s="131"/>
      <c r="C758" s="131"/>
      <c r="D758" s="131"/>
      <c r="E758" s="131"/>
    </row>
    <row r="759" spans="1:5" ht="10.5" hidden="1" customHeight="1" x14ac:dyDescent="0.25">
      <c r="A759" s="131"/>
      <c r="B759" s="131"/>
      <c r="C759" s="131"/>
      <c r="D759" s="131"/>
      <c r="E759" s="131"/>
    </row>
    <row r="760" spans="1:5" ht="10.5" hidden="1" customHeight="1" x14ac:dyDescent="0.25">
      <c r="A760" s="131"/>
      <c r="B760" s="131"/>
      <c r="C760" s="131"/>
      <c r="D760" s="131"/>
      <c r="E760" s="131"/>
    </row>
    <row r="761" spans="1:5" ht="10.5" hidden="1" customHeight="1" x14ac:dyDescent="0.25">
      <c r="A761" s="131"/>
      <c r="B761" s="131"/>
      <c r="C761" s="131"/>
      <c r="D761" s="131"/>
      <c r="E761" s="131"/>
    </row>
    <row r="762" spans="1:5" ht="10.5" hidden="1" customHeight="1" x14ac:dyDescent="0.25">
      <c r="A762" s="131"/>
      <c r="B762" s="131"/>
      <c r="C762" s="131"/>
      <c r="D762" s="131"/>
      <c r="E762" s="131"/>
    </row>
    <row r="763" spans="1:5" ht="10.5" hidden="1" customHeight="1" x14ac:dyDescent="0.25">
      <c r="A763" s="131"/>
      <c r="B763" s="131"/>
      <c r="C763" s="131"/>
      <c r="D763" s="131"/>
      <c r="E763" s="131"/>
    </row>
    <row r="764" spans="1:5" ht="10.5" hidden="1" customHeight="1" x14ac:dyDescent="0.25">
      <c r="A764" s="131"/>
      <c r="B764" s="131"/>
      <c r="C764" s="131"/>
      <c r="D764" s="131"/>
      <c r="E764" s="131"/>
    </row>
    <row r="765" spans="1:5" ht="10.5" hidden="1" customHeight="1" x14ac:dyDescent="0.25">
      <c r="A765" s="131"/>
      <c r="B765" s="131"/>
      <c r="C765" s="131"/>
      <c r="D765" s="131"/>
      <c r="E765" s="131"/>
    </row>
    <row r="766" spans="1:5" ht="10.5" hidden="1" customHeight="1" x14ac:dyDescent="0.25">
      <c r="A766" s="131"/>
      <c r="B766" s="131"/>
      <c r="C766" s="131"/>
      <c r="D766" s="131"/>
      <c r="E766" s="131"/>
    </row>
    <row r="767" spans="1:5" ht="10.5" hidden="1" customHeight="1" x14ac:dyDescent="0.25">
      <c r="A767" s="131"/>
      <c r="B767" s="131"/>
      <c r="C767" s="131"/>
      <c r="D767" s="131"/>
      <c r="E767" s="131"/>
    </row>
    <row r="768" spans="1:5" ht="10.5" hidden="1" customHeight="1" x14ac:dyDescent="0.25">
      <c r="A768" s="131"/>
      <c r="B768" s="131"/>
      <c r="C768" s="131"/>
      <c r="D768" s="131"/>
      <c r="E768" s="131"/>
    </row>
    <row r="769" spans="1:8" ht="10.5" hidden="1" customHeight="1" x14ac:dyDescent="0.25">
      <c r="A769" s="131"/>
      <c r="B769" s="131"/>
      <c r="C769" s="131"/>
      <c r="D769" s="131"/>
      <c r="E769" s="131"/>
    </row>
    <row r="770" spans="1:8" ht="10.5" hidden="1" customHeight="1" x14ac:dyDescent="0.25">
      <c r="A770" s="131"/>
      <c r="B770" s="131"/>
      <c r="C770" s="131"/>
      <c r="D770" s="131"/>
      <c r="E770" s="131"/>
      <c r="F770" s="1"/>
      <c r="G770" s="1"/>
      <c r="H770" s="2"/>
    </row>
    <row r="771" spans="1:8" ht="10.5" hidden="1" customHeight="1" x14ac:dyDescent="0.25">
      <c r="A771" s="131"/>
      <c r="B771" s="131"/>
      <c r="C771" s="131"/>
      <c r="D771" s="131"/>
      <c r="E771" s="131"/>
      <c r="F771" s="1"/>
      <c r="G771" s="1"/>
      <c r="H771" s="2"/>
    </row>
    <row r="772" spans="1:8" ht="10.5" hidden="1" customHeight="1" x14ac:dyDescent="0.25">
      <c r="A772" s="131"/>
      <c r="B772" s="131"/>
      <c r="C772" s="131"/>
      <c r="D772" s="131"/>
      <c r="E772" s="131"/>
      <c r="F772" s="1"/>
      <c r="G772" s="1"/>
      <c r="H772" s="2"/>
    </row>
    <row r="773" spans="1:8" ht="10.5" hidden="1" customHeight="1" x14ac:dyDescent="0.25">
      <c r="A773" s="131"/>
      <c r="B773" s="131"/>
      <c r="C773" s="131"/>
      <c r="D773" s="131"/>
      <c r="E773" s="131"/>
      <c r="F773" s="1"/>
      <c r="G773" s="1"/>
      <c r="H773" s="2"/>
    </row>
    <row r="774" spans="1:8" ht="10.5" hidden="1" customHeight="1" x14ac:dyDescent="0.25">
      <c r="A774" s="131"/>
      <c r="B774" s="131"/>
      <c r="C774" s="131"/>
      <c r="D774" s="131"/>
      <c r="E774" s="131"/>
      <c r="F774" s="1"/>
      <c r="G774" s="1"/>
      <c r="H774" s="2"/>
    </row>
    <row r="775" spans="1:8" ht="10.5" hidden="1" customHeight="1" x14ac:dyDescent="0.25">
      <c r="A775" s="131"/>
      <c r="B775" s="131"/>
      <c r="C775" s="131"/>
      <c r="D775" s="131"/>
      <c r="E775" s="131"/>
      <c r="F775" s="1"/>
      <c r="G775" s="1"/>
      <c r="H775" s="2"/>
    </row>
    <row r="776" spans="1:8" s="129" customFormat="1" ht="12.95" customHeight="1" x14ac:dyDescent="0.25">
      <c r="A776" s="126"/>
      <c r="B776" s="127" t="s">
        <v>114</v>
      </c>
      <c r="C776" s="128" t="str">
        <f>A352</f>
        <v>Bonus 6.0 FAR</v>
      </c>
      <c r="D776" s="126"/>
      <c r="E776" s="126"/>
      <c r="H776" s="130"/>
    </row>
    <row r="777" spans="1:8" ht="10.5" customHeight="1" x14ac:dyDescent="0.25">
      <c r="A777" s="131"/>
      <c r="B777" s="131" t="s">
        <v>115</v>
      </c>
      <c r="C777" s="132">
        <f>H351</f>
        <v>38850</v>
      </c>
      <c r="D777" s="131"/>
      <c r="E777" s="131"/>
      <c r="F777" s="1"/>
      <c r="G777" s="1"/>
      <c r="H777" s="2"/>
    </row>
    <row r="778" spans="1:8" ht="10.5" customHeight="1" x14ac:dyDescent="0.25">
      <c r="A778" s="131"/>
      <c r="B778" s="131" t="s">
        <v>116</v>
      </c>
      <c r="C778" s="132">
        <f>H353</f>
        <v>247245</v>
      </c>
      <c r="D778" s="131"/>
      <c r="E778" s="131"/>
      <c r="F778" s="1"/>
      <c r="G778" s="1"/>
      <c r="H778" s="2"/>
    </row>
    <row r="779" spans="1:8" ht="10.5" customHeight="1" x14ac:dyDescent="0.25">
      <c r="A779" s="131"/>
      <c r="B779" s="131" t="s">
        <v>117</v>
      </c>
      <c r="C779" s="132">
        <f>G354</f>
        <v>950</v>
      </c>
      <c r="D779" s="131"/>
      <c r="E779" s="131"/>
      <c r="F779" s="1"/>
      <c r="G779" s="1"/>
      <c r="H779" s="2"/>
    </row>
    <row r="780" spans="1:8" ht="10.5" customHeight="1" x14ac:dyDescent="0.25">
      <c r="A780" s="131"/>
      <c r="B780" s="131" t="s">
        <v>107</v>
      </c>
      <c r="C780" s="132">
        <f>H354</f>
        <v>260.2578947368421</v>
      </c>
      <c r="D780" s="131"/>
      <c r="E780" s="131"/>
      <c r="F780" s="1"/>
      <c r="G780" s="1"/>
      <c r="H780" s="2"/>
    </row>
    <row r="781" spans="1:8" ht="10.5" customHeight="1" x14ac:dyDescent="0.25">
      <c r="A781" s="131"/>
      <c r="B781" s="131" t="s">
        <v>118</v>
      </c>
      <c r="C781" s="132">
        <f>H356</f>
        <v>10.632631578947368</v>
      </c>
      <c r="D781" s="131"/>
      <c r="E781" s="131"/>
      <c r="F781" s="1"/>
      <c r="G781" s="1"/>
      <c r="H781" s="2"/>
    </row>
    <row r="782" spans="1:8" ht="10.5" customHeight="1" x14ac:dyDescent="0.25">
      <c r="A782" s="131"/>
      <c r="B782" s="131" t="s">
        <v>119</v>
      </c>
      <c r="C782" s="132">
        <f>H358</f>
        <v>56.632631578947368</v>
      </c>
      <c r="D782" s="131"/>
      <c r="E782" s="131"/>
      <c r="F782" s="1"/>
      <c r="G782" s="1"/>
      <c r="H782" s="2"/>
    </row>
    <row r="783" spans="1:8" ht="10.5" customHeight="1" x14ac:dyDescent="0.25">
      <c r="A783" s="131"/>
      <c r="B783" s="131" t="s">
        <v>120</v>
      </c>
      <c r="C783" s="132">
        <f>H361</f>
        <v>4</v>
      </c>
      <c r="D783" s="131"/>
      <c r="E783" s="131"/>
      <c r="F783" s="1"/>
      <c r="G783" s="1"/>
      <c r="H783" s="2"/>
    </row>
    <row r="784" spans="1:8" ht="10.5" customHeight="1" x14ac:dyDescent="0.25">
      <c r="A784" s="131"/>
      <c r="B784" s="131"/>
      <c r="C784" s="132"/>
      <c r="D784" s="131"/>
      <c r="E784" s="131"/>
      <c r="F784" s="1"/>
      <c r="G784" s="1"/>
      <c r="H784" s="2"/>
    </row>
    <row r="785" spans="1:8" ht="10.5" customHeight="1" x14ac:dyDescent="0.25">
      <c r="A785" s="131"/>
      <c r="B785" s="133" t="s">
        <v>121</v>
      </c>
      <c r="C785" s="132"/>
      <c r="D785" s="131"/>
      <c r="E785" s="131"/>
      <c r="F785" s="1"/>
      <c r="G785" s="1"/>
      <c r="H785" s="2"/>
    </row>
    <row r="786" spans="1:8" ht="10.5" customHeight="1" x14ac:dyDescent="0.25">
      <c r="A786" s="131"/>
      <c r="B786" s="131" t="s">
        <v>122</v>
      </c>
      <c r="C786" s="134">
        <f>H370</f>
        <v>140128.72749473684</v>
      </c>
      <c r="D786" s="135" t="s">
        <v>123</v>
      </c>
      <c r="E786" s="134">
        <v>1098.26</v>
      </c>
    </row>
    <row r="787" spans="1:8" ht="10.5" customHeight="1" x14ac:dyDescent="0.25">
      <c r="A787" s="131"/>
      <c r="B787" s="131" t="s">
        <v>124</v>
      </c>
      <c r="C787" s="134">
        <f>H371</f>
        <v>433286.47111111111</v>
      </c>
      <c r="D787" s="135" t="s">
        <v>123</v>
      </c>
      <c r="E787" s="134">
        <v>784.93925925925919</v>
      </c>
    </row>
    <row r="788" spans="1:8" ht="10.5" customHeight="1" x14ac:dyDescent="0.25">
      <c r="A788" s="131"/>
      <c r="B788" s="131" t="s">
        <v>125</v>
      </c>
      <c r="C788" s="136">
        <f>H369</f>
        <v>7237512</v>
      </c>
      <c r="D788" s="135" t="s">
        <v>123</v>
      </c>
      <c r="E788" s="134">
        <v>2956.5</v>
      </c>
    </row>
    <row r="789" spans="1:8" ht="10.5" customHeight="1" x14ac:dyDescent="0.25">
      <c r="A789" s="131"/>
      <c r="B789" s="131" t="s">
        <v>126</v>
      </c>
      <c r="C789" s="136">
        <f>H374</f>
        <v>585580.26315789472</v>
      </c>
      <c r="D789" s="135"/>
      <c r="E789" s="134"/>
    </row>
    <row r="790" spans="1:8" ht="10.5" customHeight="1" x14ac:dyDescent="0.25">
      <c r="A790" s="131"/>
      <c r="B790" s="131" t="s">
        <v>127</v>
      </c>
      <c r="C790" s="136">
        <f>H383</f>
        <v>-361875.60000000003</v>
      </c>
      <c r="D790" s="135"/>
      <c r="E790" s="134"/>
    </row>
    <row r="791" spans="1:8" ht="10.5" customHeight="1" x14ac:dyDescent="0.25">
      <c r="A791" s="131"/>
      <c r="B791" s="131" t="s">
        <v>128</v>
      </c>
      <c r="C791" s="136">
        <f>H393</f>
        <v>-2763550.6520842104</v>
      </c>
      <c r="D791" s="131"/>
      <c r="E791" s="131"/>
    </row>
    <row r="792" spans="1:8" ht="10.5" customHeight="1" x14ac:dyDescent="0.25">
      <c r="A792" s="131"/>
      <c r="B792" s="131" t="s">
        <v>129</v>
      </c>
      <c r="C792" s="134">
        <f>SUM(C786:C791)</f>
        <v>5271081.2096795328</v>
      </c>
      <c r="D792" s="131"/>
      <c r="E792" s="131"/>
    </row>
    <row r="793" spans="1:8" ht="10.5" customHeight="1" x14ac:dyDescent="0.25">
      <c r="A793" s="131"/>
      <c r="B793" s="131"/>
      <c r="C793" s="131"/>
      <c r="D793" s="131"/>
      <c r="E793" s="131"/>
    </row>
    <row r="794" spans="1:8" ht="10.5" customHeight="1" x14ac:dyDescent="0.25">
      <c r="A794" s="131"/>
      <c r="B794" s="133" t="s">
        <v>130</v>
      </c>
      <c r="C794" s="131"/>
      <c r="D794" s="131"/>
      <c r="E794" s="131"/>
    </row>
    <row r="795" spans="1:8" ht="10.5" customHeight="1" x14ac:dyDescent="0.25">
      <c r="A795" s="131"/>
      <c r="B795" s="131" t="s">
        <v>131</v>
      </c>
      <c r="C795" s="136">
        <f>H407+H409</f>
        <v>70522081.736842111</v>
      </c>
      <c r="D795" s="131"/>
      <c r="E795" s="131"/>
    </row>
    <row r="796" spans="1:8" ht="10.5" customHeight="1" x14ac:dyDescent="0.25">
      <c r="A796" s="131"/>
      <c r="B796" s="131" t="s">
        <v>132</v>
      </c>
      <c r="C796" s="136">
        <f>H405</f>
        <v>2719500</v>
      </c>
      <c r="D796" s="131"/>
      <c r="E796" s="131"/>
    </row>
    <row r="797" spans="1:8" ht="10.5" customHeight="1" x14ac:dyDescent="0.25">
      <c r="A797" s="131"/>
      <c r="B797" s="131" t="s">
        <v>133</v>
      </c>
      <c r="C797" s="136">
        <f>H410</f>
        <v>12700000</v>
      </c>
      <c r="D797" s="131"/>
      <c r="E797" s="131"/>
    </row>
    <row r="798" spans="1:8" ht="10.5" customHeight="1" x14ac:dyDescent="0.25">
      <c r="A798" s="131"/>
      <c r="B798" s="131" t="s">
        <v>113</v>
      </c>
      <c r="C798" s="136">
        <f>H406</f>
        <v>1200000</v>
      </c>
      <c r="D798" s="131"/>
      <c r="E798" s="131"/>
    </row>
    <row r="799" spans="1:8" ht="10.5" customHeight="1" x14ac:dyDescent="0.25">
      <c r="A799" s="131"/>
      <c r="B799" s="131" t="s">
        <v>134</v>
      </c>
      <c r="C799" s="136">
        <f>SUM(C795:C798)</f>
        <v>87141581.736842111</v>
      </c>
      <c r="D799" s="135" t="s">
        <v>135</v>
      </c>
      <c r="E799" s="136">
        <f>C799/C780</f>
        <v>334827.81310036604</v>
      </c>
    </row>
    <row r="800" spans="1:8" ht="10.5" customHeight="1" x14ac:dyDescent="0.25">
      <c r="A800" s="131"/>
      <c r="B800" s="131"/>
      <c r="C800" s="131"/>
      <c r="D800" s="131"/>
      <c r="E800" s="131"/>
    </row>
    <row r="801" spans="1:5" ht="10.5" customHeight="1" x14ac:dyDescent="0.25">
      <c r="A801" s="131"/>
      <c r="B801" s="133" t="s">
        <v>136</v>
      </c>
      <c r="C801" s="137">
        <f>C792/C799</f>
        <v>6.0488702461215495E-2</v>
      </c>
      <c r="D801" s="131"/>
      <c r="E801" s="131"/>
    </row>
    <row r="802" spans="1:5" x14ac:dyDescent="0.25">
      <c r="B802" s="118"/>
      <c r="C802" s="139"/>
    </row>
    <row r="803" spans="1:5" x14ac:dyDescent="0.25">
      <c r="B803" s="118"/>
      <c r="C803" s="139"/>
    </row>
    <row r="804" spans="1:5" x14ac:dyDescent="0.25">
      <c r="B804" s="118"/>
      <c r="C804" s="139"/>
    </row>
    <row r="805" spans="1:5" x14ac:dyDescent="0.25">
      <c r="B805" s="1"/>
      <c r="C805" s="1"/>
    </row>
  </sheetData>
  <autoFilter ref="A1:H416"/>
  <pageMargins left="0.7" right="0.7" top="0.75" bottom="0.75" header="0.3" footer="0.3"/>
  <pageSetup scale="68" orientation="portrait" horizontalDpi="1200" verticalDpi="1200" r:id="rId1"/>
  <headerFooter>
    <oddFooter>&amp;L&amp;A&amp;C&amp;F&amp;R&amp;P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5"/>
  <sheetViews>
    <sheetView workbookViewId="0">
      <pane ySplit="1" topLeftCell="A142" activePane="bottomLeft" state="frozen"/>
      <selection pane="bottomLeft" activeCell="B158" sqref="B158"/>
    </sheetView>
  </sheetViews>
  <sheetFormatPr defaultRowHeight="15" x14ac:dyDescent="0.25"/>
  <cols>
    <col min="1" max="1" width="2.28515625" customWidth="1"/>
    <col min="2" max="2" width="31.28515625" customWidth="1"/>
    <col min="3" max="3" width="18.7109375" customWidth="1"/>
    <col min="4" max="4" width="9.28515625" customWidth="1"/>
    <col min="5" max="5" width="7.5703125" customWidth="1"/>
    <col min="6" max="6" width="12.5703125" customWidth="1"/>
    <col min="7" max="7" width="17.28515625" customWidth="1"/>
    <col min="8" max="8" width="19" customWidth="1"/>
    <col min="10" max="10" width="13" customWidth="1"/>
    <col min="11" max="11" width="12.42578125" customWidth="1"/>
    <col min="258" max="258" width="2.28515625" customWidth="1"/>
    <col min="259" max="259" width="16.5703125" customWidth="1"/>
    <col min="260" max="260" width="16" customWidth="1"/>
    <col min="261" max="261" width="14" customWidth="1"/>
    <col min="262" max="262" width="16" customWidth="1"/>
    <col min="263" max="263" width="15.85546875" customWidth="1"/>
    <col min="264" max="264" width="19" customWidth="1"/>
    <col min="267" max="267" width="10.7109375" bestFit="1" customWidth="1"/>
    <col min="514" max="514" width="2.28515625" customWidth="1"/>
    <col min="515" max="515" width="16.5703125" customWidth="1"/>
    <col min="516" max="516" width="16" customWidth="1"/>
    <col min="517" max="517" width="14" customWidth="1"/>
    <col min="518" max="518" width="16" customWidth="1"/>
    <col min="519" max="519" width="15.85546875" customWidth="1"/>
    <col min="520" max="520" width="19" customWidth="1"/>
    <col min="523" max="523" width="10.7109375" bestFit="1" customWidth="1"/>
    <col min="770" max="770" width="2.28515625" customWidth="1"/>
    <col min="771" max="771" width="16.5703125" customWidth="1"/>
    <col min="772" max="772" width="16" customWidth="1"/>
    <col min="773" max="773" width="14" customWidth="1"/>
    <col min="774" max="774" width="16" customWidth="1"/>
    <col min="775" max="775" width="15.85546875" customWidth="1"/>
    <col min="776" max="776" width="19" customWidth="1"/>
    <col min="779" max="779" width="10.7109375" bestFit="1" customWidth="1"/>
    <col min="1026" max="1026" width="2.28515625" customWidth="1"/>
    <col min="1027" max="1027" width="16.5703125" customWidth="1"/>
    <col min="1028" max="1028" width="16" customWidth="1"/>
    <col min="1029" max="1029" width="14" customWidth="1"/>
    <col min="1030" max="1030" width="16" customWidth="1"/>
    <col min="1031" max="1031" width="15.85546875" customWidth="1"/>
    <col min="1032" max="1032" width="19" customWidth="1"/>
    <col min="1035" max="1035" width="10.7109375" bestFit="1" customWidth="1"/>
    <col min="1282" max="1282" width="2.28515625" customWidth="1"/>
    <col min="1283" max="1283" width="16.5703125" customWidth="1"/>
    <col min="1284" max="1284" width="16" customWidth="1"/>
    <col min="1285" max="1285" width="14" customWidth="1"/>
    <col min="1286" max="1286" width="16" customWidth="1"/>
    <col min="1287" max="1287" width="15.85546875" customWidth="1"/>
    <col min="1288" max="1288" width="19" customWidth="1"/>
    <col min="1291" max="1291" width="10.7109375" bestFit="1" customWidth="1"/>
    <col min="1538" max="1538" width="2.28515625" customWidth="1"/>
    <col min="1539" max="1539" width="16.5703125" customWidth="1"/>
    <col min="1540" max="1540" width="16" customWidth="1"/>
    <col min="1541" max="1541" width="14" customWidth="1"/>
    <col min="1542" max="1542" width="16" customWidth="1"/>
    <col min="1543" max="1543" width="15.85546875" customWidth="1"/>
    <col min="1544" max="1544" width="19" customWidth="1"/>
    <col min="1547" max="1547" width="10.7109375" bestFit="1" customWidth="1"/>
    <col min="1794" max="1794" width="2.28515625" customWidth="1"/>
    <col min="1795" max="1795" width="16.5703125" customWidth="1"/>
    <col min="1796" max="1796" width="16" customWidth="1"/>
    <col min="1797" max="1797" width="14" customWidth="1"/>
    <col min="1798" max="1798" width="16" customWidth="1"/>
    <col min="1799" max="1799" width="15.85546875" customWidth="1"/>
    <col min="1800" max="1800" width="19" customWidth="1"/>
    <col min="1803" max="1803" width="10.7109375" bestFit="1" customWidth="1"/>
    <col min="2050" max="2050" width="2.28515625" customWidth="1"/>
    <col min="2051" max="2051" width="16.5703125" customWidth="1"/>
    <col min="2052" max="2052" width="16" customWidth="1"/>
    <col min="2053" max="2053" width="14" customWidth="1"/>
    <col min="2054" max="2054" width="16" customWidth="1"/>
    <col min="2055" max="2055" width="15.85546875" customWidth="1"/>
    <col min="2056" max="2056" width="19" customWidth="1"/>
    <col min="2059" max="2059" width="10.7109375" bestFit="1" customWidth="1"/>
    <col min="2306" max="2306" width="2.28515625" customWidth="1"/>
    <col min="2307" max="2307" width="16.5703125" customWidth="1"/>
    <col min="2308" max="2308" width="16" customWidth="1"/>
    <col min="2309" max="2309" width="14" customWidth="1"/>
    <col min="2310" max="2310" width="16" customWidth="1"/>
    <col min="2311" max="2311" width="15.85546875" customWidth="1"/>
    <col min="2312" max="2312" width="19" customWidth="1"/>
    <col min="2315" max="2315" width="10.7109375" bestFit="1" customWidth="1"/>
    <col min="2562" max="2562" width="2.28515625" customWidth="1"/>
    <col min="2563" max="2563" width="16.5703125" customWidth="1"/>
    <col min="2564" max="2564" width="16" customWidth="1"/>
    <col min="2565" max="2565" width="14" customWidth="1"/>
    <col min="2566" max="2566" width="16" customWidth="1"/>
    <col min="2567" max="2567" width="15.85546875" customWidth="1"/>
    <col min="2568" max="2568" width="19" customWidth="1"/>
    <col min="2571" max="2571" width="10.7109375" bestFit="1" customWidth="1"/>
    <col min="2818" max="2818" width="2.28515625" customWidth="1"/>
    <col min="2819" max="2819" width="16.5703125" customWidth="1"/>
    <col min="2820" max="2820" width="16" customWidth="1"/>
    <col min="2821" max="2821" width="14" customWidth="1"/>
    <col min="2822" max="2822" width="16" customWidth="1"/>
    <col min="2823" max="2823" width="15.85546875" customWidth="1"/>
    <col min="2824" max="2824" width="19" customWidth="1"/>
    <col min="2827" max="2827" width="10.7109375" bestFit="1" customWidth="1"/>
    <col min="3074" max="3074" width="2.28515625" customWidth="1"/>
    <col min="3075" max="3075" width="16.5703125" customWidth="1"/>
    <col min="3076" max="3076" width="16" customWidth="1"/>
    <col min="3077" max="3077" width="14" customWidth="1"/>
    <col min="3078" max="3078" width="16" customWidth="1"/>
    <col min="3079" max="3079" width="15.85546875" customWidth="1"/>
    <col min="3080" max="3080" width="19" customWidth="1"/>
    <col min="3083" max="3083" width="10.7109375" bestFit="1" customWidth="1"/>
    <col min="3330" max="3330" width="2.28515625" customWidth="1"/>
    <col min="3331" max="3331" width="16.5703125" customWidth="1"/>
    <col min="3332" max="3332" width="16" customWidth="1"/>
    <col min="3333" max="3333" width="14" customWidth="1"/>
    <col min="3334" max="3334" width="16" customWidth="1"/>
    <col min="3335" max="3335" width="15.85546875" customWidth="1"/>
    <col min="3336" max="3336" width="19" customWidth="1"/>
    <col min="3339" max="3339" width="10.7109375" bestFit="1" customWidth="1"/>
    <col min="3586" max="3586" width="2.28515625" customWidth="1"/>
    <col min="3587" max="3587" width="16.5703125" customWidth="1"/>
    <col min="3588" max="3588" width="16" customWidth="1"/>
    <col min="3589" max="3589" width="14" customWidth="1"/>
    <col min="3590" max="3590" width="16" customWidth="1"/>
    <col min="3591" max="3591" width="15.85546875" customWidth="1"/>
    <col min="3592" max="3592" width="19" customWidth="1"/>
    <col min="3595" max="3595" width="10.7109375" bestFit="1" customWidth="1"/>
    <col min="3842" max="3842" width="2.28515625" customWidth="1"/>
    <col min="3843" max="3843" width="16.5703125" customWidth="1"/>
    <col min="3844" max="3844" width="16" customWidth="1"/>
    <col min="3845" max="3845" width="14" customWidth="1"/>
    <col min="3846" max="3846" width="16" customWidth="1"/>
    <col min="3847" max="3847" width="15.85546875" customWidth="1"/>
    <col min="3848" max="3848" width="19" customWidth="1"/>
    <col min="3851" max="3851" width="10.7109375" bestFit="1" customWidth="1"/>
    <col min="4098" max="4098" width="2.28515625" customWidth="1"/>
    <col min="4099" max="4099" width="16.5703125" customWidth="1"/>
    <col min="4100" max="4100" width="16" customWidth="1"/>
    <col min="4101" max="4101" width="14" customWidth="1"/>
    <col min="4102" max="4102" width="16" customWidth="1"/>
    <col min="4103" max="4103" width="15.85546875" customWidth="1"/>
    <col min="4104" max="4104" width="19" customWidth="1"/>
    <col min="4107" max="4107" width="10.7109375" bestFit="1" customWidth="1"/>
    <col min="4354" max="4354" width="2.28515625" customWidth="1"/>
    <col min="4355" max="4355" width="16.5703125" customWidth="1"/>
    <col min="4356" max="4356" width="16" customWidth="1"/>
    <col min="4357" max="4357" width="14" customWidth="1"/>
    <col min="4358" max="4358" width="16" customWidth="1"/>
    <col min="4359" max="4359" width="15.85546875" customWidth="1"/>
    <col min="4360" max="4360" width="19" customWidth="1"/>
    <col min="4363" max="4363" width="10.7109375" bestFit="1" customWidth="1"/>
    <col min="4610" max="4610" width="2.28515625" customWidth="1"/>
    <col min="4611" max="4611" width="16.5703125" customWidth="1"/>
    <col min="4612" max="4612" width="16" customWidth="1"/>
    <col min="4613" max="4613" width="14" customWidth="1"/>
    <col min="4614" max="4614" width="16" customWidth="1"/>
    <col min="4615" max="4615" width="15.85546875" customWidth="1"/>
    <col min="4616" max="4616" width="19" customWidth="1"/>
    <col min="4619" max="4619" width="10.7109375" bestFit="1" customWidth="1"/>
    <col min="4866" max="4866" width="2.28515625" customWidth="1"/>
    <col min="4867" max="4867" width="16.5703125" customWidth="1"/>
    <col min="4868" max="4868" width="16" customWidth="1"/>
    <col min="4869" max="4869" width="14" customWidth="1"/>
    <col min="4870" max="4870" width="16" customWidth="1"/>
    <col min="4871" max="4871" width="15.85546875" customWidth="1"/>
    <col min="4872" max="4872" width="19" customWidth="1"/>
    <col min="4875" max="4875" width="10.7109375" bestFit="1" customWidth="1"/>
    <col min="5122" max="5122" width="2.28515625" customWidth="1"/>
    <col min="5123" max="5123" width="16.5703125" customWidth="1"/>
    <col min="5124" max="5124" width="16" customWidth="1"/>
    <col min="5125" max="5125" width="14" customWidth="1"/>
    <col min="5126" max="5126" width="16" customWidth="1"/>
    <col min="5127" max="5127" width="15.85546875" customWidth="1"/>
    <col min="5128" max="5128" width="19" customWidth="1"/>
    <col min="5131" max="5131" width="10.7109375" bestFit="1" customWidth="1"/>
    <col min="5378" max="5378" width="2.28515625" customWidth="1"/>
    <col min="5379" max="5379" width="16.5703125" customWidth="1"/>
    <col min="5380" max="5380" width="16" customWidth="1"/>
    <col min="5381" max="5381" width="14" customWidth="1"/>
    <col min="5382" max="5382" width="16" customWidth="1"/>
    <col min="5383" max="5383" width="15.85546875" customWidth="1"/>
    <col min="5384" max="5384" width="19" customWidth="1"/>
    <col min="5387" max="5387" width="10.7109375" bestFit="1" customWidth="1"/>
    <col min="5634" max="5634" width="2.28515625" customWidth="1"/>
    <col min="5635" max="5635" width="16.5703125" customWidth="1"/>
    <col min="5636" max="5636" width="16" customWidth="1"/>
    <col min="5637" max="5637" width="14" customWidth="1"/>
    <col min="5638" max="5638" width="16" customWidth="1"/>
    <col min="5639" max="5639" width="15.85546875" customWidth="1"/>
    <col min="5640" max="5640" width="19" customWidth="1"/>
    <col min="5643" max="5643" width="10.7109375" bestFit="1" customWidth="1"/>
    <col min="5890" max="5890" width="2.28515625" customWidth="1"/>
    <col min="5891" max="5891" width="16.5703125" customWidth="1"/>
    <col min="5892" max="5892" width="16" customWidth="1"/>
    <col min="5893" max="5893" width="14" customWidth="1"/>
    <col min="5894" max="5894" width="16" customWidth="1"/>
    <col min="5895" max="5895" width="15.85546875" customWidth="1"/>
    <col min="5896" max="5896" width="19" customWidth="1"/>
    <col min="5899" max="5899" width="10.7109375" bestFit="1" customWidth="1"/>
    <col min="6146" max="6146" width="2.28515625" customWidth="1"/>
    <col min="6147" max="6147" width="16.5703125" customWidth="1"/>
    <col min="6148" max="6148" width="16" customWidth="1"/>
    <col min="6149" max="6149" width="14" customWidth="1"/>
    <col min="6150" max="6150" width="16" customWidth="1"/>
    <col min="6151" max="6151" width="15.85546875" customWidth="1"/>
    <col min="6152" max="6152" width="19" customWidth="1"/>
    <col min="6155" max="6155" width="10.7109375" bestFit="1" customWidth="1"/>
    <col min="6402" max="6402" width="2.28515625" customWidth="1"/>
    <col min="6403" max="6403" width="16.5703125" customWidth="1"/>
    <col min="6404" max="6404" width="16" customWidth="1"/>
    <col min="6405" max="6405" width="14" customWidth="1"/>
    <col min="6406" max="6406" width="16" customWidth="1"/>
    <col min="6407" max="6407" width="15.85546875" customWidth="1"/>
    <col min="6408" max="6408" width="19" customWidth="1"/>
    <col min="6411" max="6411" width="10.7109375" bestFit="1" customWidth="1"/>
    <col min="6658" max="6658" width="2.28515625" customWidth="1"/>
    <col min="6659" max="6659" width="16.5703125" customWidth="1"/>
    <col min="6660" max="6660" width="16" customWidth="1"/>
    <col min="6661" max="6661" width="14" customWidth="1"/>
    <col min="6662" max="6662" width="16" customWidth="1"/>
    <col min="6663" max="6663" width="15.85546875" customWidth="1"/>
    <col min="6664" max="6664" width="19" customWidth="1"/>
    <col min="6667" max="6667" width="10.7109375" bestFit="1" customWidth="1"/>
    <col min="6914" max="6914" width="2.28515625" customWidth="1"/>
    <col min="6915" max="6915" width="16.5703125" customWidth="1"/>
    <col min="6916" max="6916" width="16" customWidth="1"/>
    <col min="6917" max="6917" width="14" customWidth="1"/>
    <col min="6918" max="6918" width="16" customWidth="1"/>
    <col min="6919" max="6919" width="15.85546875" customWidth="1"/>
    <col min="6920" max="6920" width="19" customWidth="1"/>
    <col min="6923" max="6923" width="10.7109375" bestFit="1" customWidth="1"/>
    <col min="7170" max="7170" width="2.28515625" customWidth="1"/>
    <col min="7171" max="7171" width="16.5703125" customWidth="1"/>
    <col min="7172" max="7172" width="16" customWidth="1"/>
    <col min="7173" max="7173" width="14" customWidth="1"/>
    <col min="7174" max="7174" width="16" customWidth="1"/>
    <col min="7175" max="7175" width="15.85546875" customWidth="1"/>
    <col min="7176" max="7176" width="19" customWidth="1"/>
    <col min="7179" max="7179" width="10.7109375" bestFit="1" customWidth="1"/>
    <col min="7426" max="7426" width="2.28515625" customWidth="1"/>
    <col min="7427" max="7427" width="16.5703125" customWidth="1"/>
    <col min="7428" max="7428" width="16" customWidth="1"/>
    <col min="7429" max="7429" width="14" customWidth="1"/>
    <col min="7430" max="7430" width="16" customWidth="1"/>
    <col min="7431" max="7431" width="15.85546875" customWidth="1"/>
    <col min="7432" max="7432" width="19" customWidth="1"/>
    <col min="7435" max="7435" width="10.7109375" bestFit="1" customWidth="1"/>
    <col min="7682" max="7682" width="2.28515625" customWidth="1"/>
    <col min="7683" max="7683" width="16.5703125" customWidth="1"/>
    <col min="7684" max="7684" width="16" customWidth="1"/>
    <col min="7685" max="7685" width="14" customWidth="1"/>
    <col min="7686" max="7686" width="16" customWidth="1"/>
    <col min="7687" max="7687" width="15.85546875" customWidth="1"/>
    <col min="7688" max="7688" width="19" customWidth="1"/>
    <col min="7691" max="7691" width="10.7109375" bestFit="1" customWidth="1"/>
    <col min="7938" max="7938" width="2.28515625" customWidth="1"/>
    <col min="7939" max="7939" width="16.5703125" customWidth="1"/>
    <col min="7940" max="7940" width="16" customWidth="1"/>
    <col min="7941" max="7941" width="14" customWidth="1"/>
    <col min="7942" max="7942" width="16" customWidth="1"/>
    <col min="7943" max="7943" width="15.85546875" customWidth="1"/>
    <col min="7944" max="7944" width="19" customWidth="1"/>
    <col min="7947" max="7947" width="10.7109375" bestFit="1" customWidth="1"/>
    <col min="8194" max="8194" width="2.28515625" customWidth="1"/>
    <col min="8195" max="8195" width="16.5703125" customWidth="1"/>
    <col min="8196" max="8196" width="16" customWidth="1"/>
    <col min="8197" max="8197" width="14" customWidth="1"/>
    <col min="8198" max="8198" width="16" customWidth="1"/>
    <col min="8199" max="8199" width="15.85546875" customWidth="1"/>
    <col min="8200" max="8200" width="19" customWidth="1"/>
    <col min="8203" max="8203" width="10.7109375" bestFit="1" customWidth="1"/>
    <col min="8450" max="8450" width="2.28515625" customWidth="1"/>
    <col min="8451" max="8451" width="16.5703125" customWidth="1"/>
    <col min="8452" max="8452" width="16" customWidth="1"/>
    <col min="8453" max="8453" width="14" customWidth="1"/>
    <col min="8454" max="8454" width="16" customWidth="1"/>
    <col min="8455" max="8455" width="15.85546875" customWidth="1"/>
    <col min="8456" max="8456" width="19" customWidth="1"/>
    <col min="8459" max="8459" width="10.7109375" bestFit="1" customWidth="1"/>
    <col min="8706" max="8706" width="2.28515625" customWidth="1"/>
    <col min="8707" max="8707" width="16.5703125" customWidth="1"/>
    <col min="8708" max="8708" width="16" customWidth="1"/>
    <col min="8709" max="8709" width="14" customWidth="1"/>
    <col min="8710" max="8710" width="16" customWidth="1"/>
    <col min="8711" max="8711" width="15.85546875" customWidth="1"/>
    <col min="8712" max="8712" width="19" customWidth="1"/>
    <col min="8715" max="8715" width="10.7109375" bestFit="1" customWidth="1"/>
    <col min="8962" max="8962" width="2.28515625" customWidth="1"/>
    <col min="8963" max="8963" width="16.5703125" customWidth="1"/>
    <col min="8964" max="8964" width="16" customWidth="1"/>
    <col min="8965" max="8965" width="14" customWidth="1"/>
    <col min="8966" max="8966" width="16" customWidth="1"/>
    <col min="8967" max="8967" width="15.85546875" customWidth="1"/>
    <col min="8968" max="8968" width="19" customWidth="1"/>
    <col min="8971" max="8971" width="10.7109375" bestFit="1" customWidth="1"/>
    <col min="9218" max="9218" width="2.28515625" customWidth="1"/>
    <col min="9219" max="9219" width="16.5703125" customWidth="1"/>
    <col min="9220" max="9220" width="16" customWidth="1"/>
    <col min="9221" max="9221" width="14" customWidth="1"/>
    <col min="9222" max="9222" width="16" customWidth="1"/>
    <col min="9223" max="9223" width="15.85546875" customWidth="1"/>
    <col min="9224" max="9224" width="19" customWidth="1"/>
    <col min="9227" max="9227" width="10.7109375" bestFit="1" customWidth="1"/>
    <col min="9474" max="9474" width="2.28515625" customWidth="1"/>
    <col min="9475" max="9475" width="16.5703125" customWidth="1"/>
    <col min="9476" max="9476" width="16" customWidth="1"/>
    <col min="9477" max="9477" width="14" customWidth="1"/>
    <col min="9478" max="9478" width="16" customWidth="1"/>
    <col min="9479" max="9479" width="15.85546875" customWidth="1"/>
    <col min="9480" max="9480" width="19" customWidth="1"/>
    <col min="9483" max="9483" width="10.7109375" bestFit="1" customWidth="1"/>
    <col min="9730" max="9730" width="2.28515625" customWidth="1"/>
    <col min="9731" max="9731" width="16.5703125" customWidth="1"/>
    <col min="9732" max="9732" width="16" customWidth="1"/>
    <col min="9733" max="9733" width="14" customWidth="1"/>
    <col min="9734" max="9734" width="16" customWidth="1"/>
    <col min="9735" max="9735" width="15.85546875" customWidth="1"/>
    <col min="9736" max="9736" width="19" customWidth="1"/>
    <col min="9739" max="9739" width="10.7109375" bestFit="1" customWidth="1"/>
    <col min="9986" max="9986" width="2.28515625" customWidth="1"/>
    <col min="9987" max="9987" width="16.5703125" customWidth="1"/>
    <col min="9988" max="9988" width="16" customWidth="1"/>
    <col min="9989" max="9989" width="14" customWidth="1"/>
    <col min="9990" max="9990" width="16" customWidth="1"/>
    <col min="9991" max="9991" width="15.85546875" customWidth="1"/>
    <col min="9992" max="9992" width="19" customWidth="1"/>
    <col min="9995" max="9995" width="10.7109375" bestFit="1" customWidth="1"/>
    <col min="10242" max="10242" width="2.28515625" customWidth="1"/>
    <col min="10243" max="10243" width="16.5703125" customWidth="1"/>
    <col min="10244" max="10244" width="16" customWidth="1"/>
    <col min="10245" max="10245" width="14" customWidth="1"/>
    <col min="10246" max="10246" width="16" customWidth="1"/>
    <col min="10247" max="10247" width="15.85546875" customWidth="1"/>
    <col min="10248" max="10248" width="19" customWidth="1"/>
    <col min="10251" max="10251" width="10.7109375" bestFit="1" customWidth="1"/>
    <col min="10498" max="10498" width="2.28515625" customWidth="1"/>
    <col min="10499" max="10499" width="16.5703125" customWidth="1"/>
    <col min="10500" max="10500" width="16" customWidth="1"/>
    <col min="10501" max="10501" width="14" customWidth="1"/>
    <col min="10502" max="10502" width="16" customWidth="1"/>
    <col min="10503" max="10503" width="15.85546875" customWidth="1"/>
    <col min="10504" max="10504" width="19" customWidth="1"/>
    <col min="10507" max="10507" width="10.7109375" bestFit="1" customWidth="1"/>
    <col min="10754" max="10754" width="2.28515625" customWidth="1"/>
    <col min="10755" max="10755" width="16.5703125" customWidth="1"/>
    <col min="10756" max="10756" width="16" customWidth="1"/>
    <col min="10757" max="10757" width="14" customWidth="1"/>
    <col min="10758" max="10758" width="16" customWidth="1"/>
    <col min="10759" max="10759" width="15.85546875" customWidth="1"/>
    <col min="10760" max="10760" width="19" customWidth="1"/>
    <col min="10763" max="10763" width="10.7109375" bestFit="1" customWidth="1"/>
    <col min="11010" max="11010" width="2.28515625" customWidth="1"/>
    <col min="11011" max="11011" width="16.5703125" customWidth="1"/>
    <col min="11012" max="11012" width="16" customWidth="1"/>
    <col min="11013" max="11013" width="14" customWidth="1"/>
    <col min="11014" max="11014" width="16" customWidth="1"/>
    <col min="11015" max="11015" width="15.85546875" customWidth="1"/>
    <col min="11016" max="11016" width="19" customWidth="1"/>
    <col min="11019" max="11019" width="10.7109375" bestFit="1" customWidth="1"/>
    <col min="11266" max="11266" width="2.28515625" customWidth="1"/>
    <col min="11267" max="11267" width="16.5703125" customWidth="1"/>
    <col min="11268" max="11268" width="16" customWidth="1"/>
    <col min="11269" max="11269" width="14" customWidth="1"/>
    <col min="11270" max="11270" width="16" customWidth="1"/>
    <col min="11271" max="11271" width="15.85546875" customWidth="1"/>
    <col min="11272" max="11272" width="19" customWidth="1"/>
    <col min="11275" max="11275" width="10.7109375" bestFit="1" customWidth="1"/>
    <col min="11522" max="11522" width="2.28515625" customWidth="1"/>
    <col min="11523" max="11523" width="16.5703125" customWidth="1"/>
    <col min="11524" max="11524" width="16" customWidth="1"/>
    <col min="11525" max="11525" width="14" customWidth="1"/>
    <col min="11526" max="11526" width="16" customWidth="1"/>
    <col min="11527" max="11527" width="15.85546875" customWidth="1"/>
    <col min="11528" max="11528" width="19" customWidth="1"/>
    <col min="11531" max="11531" width="10.7109375" bestFit="1" customWidth="1"/>
    <col min="11778" max="11778" width="2.28515625" customWidth="1"/>
    <col min="11779" max="11779" width="16.5703125" customWidth="1"/>
    <col min="11780" max="11780" width="16" customWidth="1"/>
    <col min="11781" max="11781" width="14" customWidth="1"/>
    <col min="11782" max="11782" width="16" customWidth="1"/>
    <col min="11783" max="11783" width="15.85546875" customWidth="1"/>
    <col min="11784" max="11784" width="19" customWidth="1"/>
    <col min="11787" max="11787" width="10.7109375" bestFit="1" customWidth="1"/>
    <col min="12034" max="12034" width="2.28515625" customWidth="1"/>
    <col min="12035" max="12035" width="16.5703125" customWidth="1"/>
    <col min="12036" max="12036" width="16" customWidth="1"/>
    <col min="12037" max="12037" width="14" customWidth="1"/>
    <col min="12038" max="12038" width="16" customWidth="1"/>
    <col min="12039" max="12039" width="15.85546875" customWidth="1"/>
    <col min="12040" max="12040" width="19" customWidth="1"/>
    <col min="12043" max="12043" width="10.7109375" bestFit="1" customWidth="1"/>
    <col min="12290" max="12290" width="2.28515625" customWidth="1"/>
    <col min="12291" max="12291" width="16.5703125" customWidth="1"/>
    <col min="12292" max="12292" width="16" customWidth="1"/>
    <col min="12293" max="12293" width="14" customWidth="1"/>
    <col min="12294" max="12294" width="16" customWidth="1"/>
    <col min="12295" max="12295" width="15.85546875" customWidth="1"/>
    <col min="12296" max="12296" width="19" customWidth="1"/>
    <col min="12299" max="12299" width="10.7109375" bestFit="1" customWidth="1"/>
    <col min="12546" max="12546" width="2.28515625" customWidth="1"/>
    <col min="12547" max="12547" width="16.5703125" customWidth="1"/>
    <col min="12548" max="12548" width="16" customWidth="1"/>
    <col min="12549" max="12549" width="14" customWidth="1"/>
    <col min="12550" max="12550" width="16" customWidth="1"/>
    <col min="12551" max="12551" width="15.85546875" customWidth="1"/>
    <col min="12552" max="12552" width="19" customWidth="1"/>
    <col min="12555" max="12555" width="10.7109375" bestFit="1" customWidth="1"/>
    <col min="12802" max="12802" width="2.28515625" customWidth="1"/>
    <col min="12803" max="12803" width="16.5703125" customWidth="1"/>
    <col min="12804" max="12804" width="16" customWidth="1"/>
    <col min="12805" max="12805" width="14" customWidth="1"/>
    <col min="12806" max="12806" width="16" customWidth="1"/>
    <col min="12807" max="12807" width="15.85546875" customWidth="1"/>
    <col min="12808" max="12808" width="19" customWidth="1"/>
    <col min="12811" max="12811" width="10.7109375" bestFit="1" customWidth="1"/>
    <col min="13058" max="13058" width="2.28515625" customWidth="1"/>
    <col min="13059" max="13059" width="16.5703125" customWidth="1"/>
    <col min="13060" max="13060" width="16" customWidth="1"/>
    <col min="13061" max="13061" width="14" customWidth="1"/>
    <col min="13062" max="13062" width="16" customWidth="1"/>
    <col min="13063" max="13063" width="15.85546875" customWidth="1"/>
    <col min="13064" max="13064" width="19" customWidth="1"/>
    <col min="13067" max="13067" width="10.7109375" bestFit="1" customWidth="1"/>
    <col min="13314" max="13314" width="2.28515625" customWidth="1"/>
    <col min="13315" max="13315" width="16.5703125" customWidth="1"/>
    <col min="13316" max="13316" width="16" customWidth="1"/>
    <col min="13317" max="13317" width="14" customWidth="1"/>
    <col min="13318" max="13318" width="16" customWidth="1"/>
    <col min="13319" max="13319" width="15.85546875" customWidth="1"/>
    <col min="13320" max="13320" width="19" customWidth="1"/>
    <col min="13323" max="13323" width="10.7109375" bestFit="1" customWidth="1"/>
    <col min="13570" max="13570" width="2.28515625" customWidth="1"/>
    <col min="13571" max="13571" width="16.5703125" customWidth="1"/>
    <col min="13572" max="13572" width="16" customWidth="1"/>
    <col min="13573" max="13573" width="14" customWidth="1"/>
    <col min="13574" max="13574" width="16" customWidth="1"/>
    <col min="13575" max="13575" width="15.85546875" customWidth="1"/>
    <col min="13576" max="13576" width="19" customWidth="1"/>
    <col min="13579" max="13579" width="10.7109375" bestFit="1" customWidth="1"/>
    <col min="13826" max="13826" width="2.28515625" customWidth="1"/>
    <col min="13827" max="13827" width="16.5703125" customWidth="1"/>
    <col min="13828" max="13828" width="16" customWidth="1"/>
    <col min="13829" max="13829" width="14" customWidth="1"/>
    <col min="13830" max="13830" width="16" customWidth="1"/>
    <col min="13831" max="13831" width="15.85546875" customWidth="1"/>
    <col min="13832" max="13832" width="19" customWidth="1"/>
    <col min="13835" max="13835" width="10.7109375" bestFit="1" customWidth="1"/>
    <col min="14082" max="14082" width="2.28515625" customWidth="1"/>
    <col min="14083" max="14083" width="16.5703125" customWidth="1"/>
    <col min="14084" max="14084" width="16" customWidth="1"/>
    <col min="14085" max="14085" width="14" customWidth="1"/>
    <col min="14086" max="14086" width="16" customWidth="1"/>
    <col min="14087" max="14087" width="15.85546875" customWidth="1"/>
    <col min="14088" max="14088" width="19" customWidth="1"/>
    <col min="14091" max="14091" width="10.7109375" bestFit="1" customWidth="1"/>
    <col min="14338" max="14338" width="2.28515625" customWidth="1"/>
    <col min="14339" max="14339" width="16.5703125" customWidth="1"/>
    <col min="14340" max="14340" width="16" customWidth="1"/>
    <col min="14341" max="14341" width="14" customWidth="1"/>
    <col min="14342" max="14342" width="16" customWidth="1"/>
    <col min="14343" max="14343" width="15.85546875" customWidth="1"/>
    <col min="14344" max="14344" width="19" customWidth="1"/>
    <col min="14347" max="14347" width="10.7109375" bestFit="1" customWidth="1"/>
    <col min="14594" max="14594" width="2.28515625" customWidth="1"/>
    <col min="14595" max="14595" width="16.5703125" customWidth="1"/>
    <col min="14596" max="14596" width="16" customWidth="1"/>
    <col min="14597" max="14597" width="14" customWidth="1"/>
    <col min="14598" max="14598" width="16" customWidth="1"/>
    <col min="14599" max="14599" width="15.85546875" customWidth="1"/>
    <col min="14600" max="14600" width="19" customWidth="1"/>
    <col min="14603" max="14603" width="10.7109375" bestFit="1" customWidth="1"/>
    <col min="14850" max="14850" width="2.28515625" customWidth="1"/>
    <col min="14851" max="14851" width="16.5703125" customWidth="1"/>
    <col min="14852" max="14852" width="16" customWidth="1"/>
    <col min="14853" max="14853" width="14" customWidth="1"/>
    <col min="14854" max="14854" width="16" customWidth="1"/>
    <col min="14855" max="14855" width="15.85546875" customWidth="1"/>
    <col min="14856" max="14856" width="19" customWidth="1"/>
    <col min="14859" max="14859" width="10.7109375" bestFit="1" customWidth="1"/>
    <col min="15106" max="15106" width="2.28515625" customWidth="1"/>
    <col min="15107" max="15107" width="16.5703125" customWidth="1"/>
    <col min="15108" max="15108" width="16" customWidth="1"/>
    <col min="15109" max="15109" width="14" customWidth="1"/>
    <col min="15110" max="15110" width="16" customWidth="1"/>
    <col min="15111" max="15111" width="15.85546875" customWidth="1"/>
    <col min="15112" max="15112" width="19" customWidth="1"/>
    <col min="15115" max="15115" width="10.7109375" bestFit="1" customWidth="1"/>
    <col min="15362" max="15362" width="2.28515625" customWidth="1"/>
    <col min="15363" max="15363" width="16.5703125" customWidth="1"/>
    <col min="15364" max="15364" width="16" customWidth="1"/>
    <col min="15365" max="15365" width="14" customWidth="1"/>
    <col min="15366" max="15366" width="16" customWidth="1"/>
    <col min="15367" max="15367" width="15.85546875" customWidth="1"/>
    <col min="15368" max="15368" width="19" customWidth="1"/>
    <col min="15371" max="15371" width="10.7109375" bestFit="1" customWidth="1"/>
    <col min="15618" max="15618" width="2.28515625" customWidth="1"/>
    <col min="15619" max="15619" width="16.5703125" customWidth="1"/>
    <col min="15620" max="15620" width="16" customWidth="1"/>
    <col min="15621" max="15621" width="14" customWidth="1"/>
    <col min="15622" max="15622" width="16" customWidth="1"/>
    <col min="15623" max="15623" width="15.85546875" customWidth="1"/>
    <col min="15624" max="15624" width="19" customWidth="1"/>
    <col min="15627" max="15627" width="10.7109375" bestFit="1" customWidth="1"/>
    <col min="15874" max="15874" width="2.28515625" customWidth="1"/>
    <col min="15875" max="15875" width="16.5703125" customWidth="1"/>
    <col min="15876" max="15876" width="16" customWidth="1"/>
    <col min="15877" max="15877" width="14" customWidth="1"/>
    <col min="15878" max="15878" width="16" customWidth="1"/>
    <col min="15879" max="15879" width="15.85546875" customWidth="1"/>
    <col min="15880" max="15880" width="19" customWidth="1"/>
    <col min="15883" max="15883" width="10.7109375" bestFit="1" customWidth="1"/>
    <col min="16130" max="16130" width="2.28515625" customWidth="1"/>
    <col min="16131" max="16131" width="16.5703125" customWidth="1"/>
    <col min="16132" max="16132" width="16" customWidth="1"/>
    <col min="16133" max="16133" width="14" customWidth="1"/>
    <col min="16134" max="16134" width="16" customWidth="1"/>
    <col min="16135" max="16135" width="15.85546875" customWidth="1"/>
    <col min="16136" max="16136" width="19" customWidth="1"/>
    <col min="16139" max="16139" width="10.7109375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ht="18.75" x14ac:dyDescent="0.3">
      <c r="A2" s="3" t="s">
        <v>0</v>
      </c>
      <c r="B2" s="4"/>
      <c r="C2" s="5"/>
      <c r="D2" s="6" t="s">
        <v>1</v>
      </c>
      <c r="E2" s="7"/>
      <c r="F2" s="7"/>
      <c r="G2" s="8"/>
      <c r="H2" s="9">
        <v>62768</v>
      </c>
      <c r="I2" s="1"/>
      <c r="J2" s="10" t="s">
        <v>2</v>
      </c>
    </row>
    <row r="3" spans="1:10" ht="18.75" x14ac:dyDescent="0.3">
      <c r="A3" s="1"/>
      <c r="B3" s="1"/>
      <c r="C3" s="1"/>
      <c r="D3" s="11" t="s">
        <v>3</v>
      </c>
      <c r="E3" s="12"/>
      <c r="F3" s="13">
        <v>193895</v>
      </c>
      <c r="G3" s="14" t="s">
        <v>4</v>
      </c>
      <c r="H3" s="15">
        <v>3.0890740504715777</v>
      </c>
      <c r="I3" s="1"/>
      <c r="J3" s="16"/>
    </row>
    <row r="4" spans="1:10" ht="18.75" x14ac:dyDescent="0.3">
      <c r="A4" s="1"/>
      <c r="B4" s="1"/>
      <c r="C4" s="1"/>
      <c r="D4" s="11" t="s">
        <v>5</v>
      </c>
      <c r="E4" s="17"/>
      <c r="F4" s="17"/>
      <c r="G4" s="18">
        <v>950</v>
      </c>
      <c r="H4" s="19">
        <v>75</v>
      </c>
      <c r="I4" s="1"/>
      <c r="J4" s="20">
        <f>H4</f>
        <v>75</v>
      </c>
    </row>
    <row r="5" spans="1:10" ht="19.5" thickBot="1" x14ac:dyDescent="0.35">
      <c r="A5" s="1"/>
      <c r="B5" s="1"/>
      <c r="C5" s="1"/>
      <c r="D5" s="21" t="s">
        <v>6</v>
      </c>
      <c r="E5" s="22"/>
      <c r="F5" s="22"/>
      <c r="G5" s="21"/>
      <c r="H5" s="23">
        <v>0</v>
      </c>
      <c r="I5" s="1"/>
      <c r="J5" s="24"/>
    </row>
    <row r="6" spans="1:10" ht="15.75" thickBot="1" x14ac:dyDescent="0.3">
      <c r="A6" s="1"/>
      <c r="B6" s="1"/>
      <c r="C6" s="1"/>
      <c r="D6" s="1"/>
      <c r="E6" s="1"/>
      <c r="F6" s="1"/>
      <c r="G6" s="1"/>
      <c r="H6" s="2"/>
      <c r="I6" s="1"/>
      <c r="J6" s="1"/>
    </row>
    <row r="7" spans="1:10" ht="18.75" x14ac:dyDescent="0.3">
      <c r="A7" s="3" t="s">
        <v>7</v>
      </c>
      <c r="B7" s="4"/>
      <c r="C7" s="5" t="s">
        <v>8</v>
      </c>
      <c r="D7" s="6" t="s">
        <v>9</v>
      </c>
      <c r="E7" s="7"/>
      <c r="F7" s="7"/>
      <c r="G7" s="8" t="s">
        <v>10</v>
      </c>
      <c r="H7" s="25" t="s">
        <v>11</v>
      </c>
      <c r="I7" s="1"/>
      <c r="J7" s="1"/>
    </row>
    <row r="8" spans="1:10" ht="18.75" x14ac:dyDescent="0.3">
      <c r="A8" s="26" t="s">
        <v>12</v>
      </c>
      <c r="B8" s="27"/>
      <c r="C8" s="11"/>
      <c r="D8" s="28" t="s">
        <v>1</v>
      </c>
      <c r="E8" s="12" t="s">
        <v>13</v>
      </c>
      <c r="F8" s="29">
        <v>1</v>
      </c>
      <c r="G8" s="30" t="s">
        <v>14</v>
      </c>
      <c r="H8" s="31">
        <v>157010</v>
      </c>
      <c r="I8" s="1"/>
      <c r="J8" s="1"/>
    </row>
    <row r="9" spans="1:10" ht="18.75" x14ac:dyDescent="0.3">
      <c r="A9" s="26" t="s">
        <v>15</v>
      </c>
      <c r="B9" s="27"/>
      <c r="C9" s="32"/>
      <c r="D9" s="11" t="s">
        <v>16</v>
      </c>
      <c r="E9" s="12"/>
      <c r="F9" s="33"/>
      <c r="G9" s="14" t="s">
        <v>4</v>
      </c>
      <c r="H9" s="15">
        <f>H10/H8</f>
        <v>1.4544296541621553</v>
      </c>
      <c r="I9" s="1"/>
      <c r="J9" s="1"/>
    </row>
    <row r="10" spans="1:10" ht="19.5" thickBot="1" x14ac:dyDescent="0.35">
      <c r="A10" s="34" t="s">
        <v>17</v>
      </c>
      <c r="B10" s="35"/>
      <c r="C10" s="36"/>
      <c r="D10" s="11" t="s">
        <v>18</v>
      </c>
      <c r="E10" s="17"/>
      <c r="F10" s="17"/>
      <c r="G10" s="37" t="s">
        <v>19</v>
      </c>
      <c r="H10" s="31">
        <v>228360</v>
      </c>
      <c r="I10" s="1"/>
      <c r="J10" s="1"/>
    </row>
    <row r="11" spans="1:10" ht="18.75" x14ac:dyDescent="0.3">
      <c r="A11" s="38"/>
      <c r="B11" s="32"/>
      <c r="C11" s="36"/>
      <c r="D11" s="11" t="s">
        <v>5</v>
      </c>
      <c r="E11" s="17"/>
      <c r="F11" s="17"/>
      <c r="G11" s="18">
        <f>G4</f>
        <v>950</v>
      </c>
      <c r="H11" s="39">
        <f>H10/G11</f>
        <v>240.37894736842105</v>
      </c>
      <c r="I11" s="1"/>
      <c r="J11" s="40">
        <f>H11-H15</f>
        <v>209.12968421052631</v>
      </c>
    </row>
    <row r="12" spans="1:10" ht="18.75" x14ac:dyDescent="0.3">
      <c r="A12" s="38"/>
      <c r="B12" s="32"/>
      <c r="C12" s="1"/>
      <c r="D12" s="11" t="s">
        <v>20</v>
      </c>
      <c r="E12" s="17"/>
      <c r="F12" s="17"/>
      <c r="G12" s="41"/>
      <c r="H12" s="42">
        <v>0.75</v>
      </c>
      <c r="I12" s="1"/>
      <c r="J12" s="1"/>
    </row>
    <row r="13" spans="1:10" ht="18.75" x14ac:dyDescent="0.3">
      <c r="A13" s="38"/>
      <c r="B13" s="32"/>
      <c r="C13" s="21" t="s">
        <v>21</v>
      </c>
      <c r="D13" s="21" t="s">
        <v>6</v>
      </c>
      <c r="E13" s="22"/>
      <c r="F13" s="22"/>
      <c r="G13" s="21"/>
      <c r="H13" s="43">
        <f>H11*0.13</f>
        <v>31.249263157894738</v>
      </c>
      <c r="I13" s="44">
        <f>H11*0.13</f>
        <v>31.249263157894738</v>
      </c>
      <c r="J13" s="1"/>
    </row>
    <row r="14" spans="1:10" ht="18.75" x14ac:dyDescent="0.3">
      <c r="A14" s="38"/>
      <c r="B14" s="32"/>
      <c r="C14" s="45"/>
      <c r="D14" s="21" t="s">
        <v>22</v>
      </c>
      <c r="E14" s="22"/>
      <c r="F14" s="22"/>
      <c r="G14" s="21"/>
      <c r="H14" s="23">
        <v>0</v>
      </c>
      <c r="I14" s="1"/>
      <c r="J14" s="1"/>
    </row>
    <row r="15" spans="1:10" ht="18.75" x14ac:dyDescent="0.3">
      <c r="A15" s="38"/>
      <c r="B15" s="32"/>
      <c r="C15" s="45"/>
      <c r="D15" s="21" t="s">
        <v>23</v>
      </c>
      <c r="E15" s="22"/>
      <c r="F15" s="22"/>
      <c r="G15" s="21"/>
      <c r="H15" s="23">
        <f>SUM(H13:H14)</f>
        <v>31.249263157894738</v>
      </c>
      <c r="I15" s="1"/>
      <c r="J15" s="1"/>
    </row>
    <row r="16" spans="1:10" ht="18.75" x14ac:dyDescent="0.3">
      <c r="A16" s="38"/>
      <c r="B16" s="32"/>
      <c r="C16" s="1"/>
      <c r="D16" s="21" t="s">
        <v>24</v>
      </c>
      <c r="E16" s="22"/>
      <c r="F16" s="22"/>
      <c r="G16" s="21"/>
      <c r="H16" s="46">
        <f>(H15+H18)/H11</f>
        <v>0.13</v>
      </c>
      <c r="I16" s="1"/>
      <c r="J16" s="1"/>
    </row>
    <row r="17" spans="1:8" ht="18.75" x14ac:dyDescent="0.3">
      <c r="A17" s="38"/>
      <c r="B17" s="32"/>
      <c r="C17" s="45"/>
      <c r="D17" s="21" t="s">
        <v>17</v>
      </c>
      <c r="E17" s="22"/>
      <c r="F17" s="22"/>
      <c r="G17" s="21"/>
      <c r="H17" s="47">
        <v>1</v>
      </c>
    </row>
    <row r="18" spans="1:8" ht="18.75" x14ac:dyDescent="0.3">
      <c r="A18" s="38"/>
      <c r="B18" s="32"/>
      <c r="C18" s="45"/>
      <c r="D18" s="21" t="s">
        <v>25</v>
      </c>
      <c r="E18" s="22"/>
      <c r="F18" s="22"/>
      <c r="G18" s="21"/>
      <c r="H18" s="23">
        <v>0</v>
      </c>
    </row>
    <row r="19" spans="1:8" ht="18.75" x14ac:dyDescent="0.3">
      <c r="A19" s="38"/>
      <c r="B19" s="32"/>
      <c r="C19" s="36"/>
      <c r="D19" s="21" t="s">
        <v>26</v>
      </c>
      <c r="E19" s="22"/>
      <c r="F19" s="22"/>
      <c r="G19" s="21"/>
      <c r="H19" s="48">
        <v>0</v>
      </c>
    </row>
    <row r="20" spans="1:8" ht="18.75" x14ac:dyDescent="0.3">
      <c r="A20" s="38"/>
      <c r="B20" s="32"/>
      <c r="C20" s="36"/>
      <c r="D20" s="21" t="s">
        <v>27</v>
      </c>
      <c r="E20" s="22"/>
      <c r="F20" s="22"/>
      <c r="G20" s="21"/>
      <c r="H20" s="48">
        <v>0</v>
      </c>
    </row>
    <row r="21" spans="1:8" ht="19.5" thickBot="1" x14ac:dyDescent="0.35">
      <c r="A21" s="38"/>
      <c r="B21" s="32"/>
      <c r="C21" s="49"/>
      <c r="D21" s="45"/>
      <c r="E21" s="45"/>
      <c r="F21" s="49"/>
      <c r="G21" s="45"/>
      <c r="H21" s="50"/>
    </row>
    <row r="22" spans="1:8" ht="19.5" thickBot="1" x14ac:dyDescent="0.35">
      <c r="A22" s="38"/>
      <c r="B22" s="32"/>
      <c r="C22" s="51" t="s">
        <v>28</v>
      </c>
      <c r="D22" s="51" t="s">
        <v>29</v>
      </c>
      <c r="E22" s="52"/>
      <c r="F22" s="53">
        <v>0.06</v>
      </c>
      <c r="G22" s="54" t="s">
        <v>30</v>
      </c>
      <c r="H22" s="55">
        <f>+F73</f>
        <v>6.0858346861289749E-2</v>
      </c>
    </row>
    <row r="23" spans="1:8" ht="18.75" x14ac:dyDescent="0.3">
      <c r="A23" s="38"/>
      <c r="B23" s="32"/>
      <c r="C23" s="36"/>
      <c r="D23" s="51" t="s">
        <v>31</v>
      </c>
      <c r="E23" s="52"/>
      <c r="F23" s="56">
        <v>3.65</v>
      </c>
      <c r="G23" s="51" t="s">
        <v>32</v>
      </c>
      <c r="H23" s="57"/>
    </row>
    <row r="24" spans="1:8" ht="19.5" thickBot="1" x14ac:dyDescent="0.35">
      <c r="A24" s="38"/>
      <c r="B24" s="32"/>
      <c r="C24" s="32"/>
      <c r="D24" s="36"/>
      <c r="E24" s="45"/>
      <c r="F24" s="49"/>
      <c r="G24" s="45"/>
      <c r="H24" s="58"/>
    </row>
    <row r="25" spans="1:8" ht="18.75" x14ac:dyDescent="0.3">
      <c r="A25" s="59" t="s">
        <v>33</v>
      </c>
      <c r="B25" s="60"/>
      <c r="C25" s="60"/>
      <c r="D25" s="60"/>
      <c r="E25" s="60"/>
      <c r="F25" s="60"/>
      <c r="G25" s="60"/>
      <c r="H25" s="61"/>
    </row>
    <row r="26" spans="1:8" ht="30" x14ac:dyDescent="0.25">
      <c r="A26" s="62" t="s">
        <v>34</v>
      </c>
      <c r="B26" s="63"/>
      <c r="C26" s="63"/>
      <c r="D26" s="64" t="s">
        <v>35</v>
      </c>
      <c r="E26" s="64" t="s">
        <v>36</v>
      </c>
      <c r="F26" s="64" t="s">
        <v>37</v>
      </c>
      <c r="G26" s="64" t="s">
        <v>38</v>
      </c>
      <c r="H26" s="65" t="s">
        <v>39</v>
      </c>
    </row>
    <row r="27" spans="1:8" x14ac:dyDescent="0.25">
      <c r="A27" s="38"/>
      <c r="B27" s="49" t="s">
        <v>40</v>
      </c>
      <c r="C27" s="49" t="s">
        <v>41</v>
      </c>
      <c r="D27" s="66">
        <f>ROUND(H11-D28-D29,0)</f>
        <v>209</v>
      </c>
      <c r="E27" s="67">
        <v>810</v>
      </c>
      <c r="F27" s="68">
        <f>+G27*E27</f>
        <v>2956.5</v>
      </c>
      <c r="G27" s="69">
        <f>F23</f>
        <v>3.65</v>
      </c>
      <c r="H27" s="70">
        <f>+D27*F27*12</f>
        <v>7414902</v>
      </c>
    </row>
    <row r="28" spans="1:8" x14ac:dyDescent="0.25">
      <c r="A28" s="38"/>
      <c r="B28" s="71" t="s">
        <v>42</v>
      </c>
      <c r="C28" s="49" t="s">
        <v>43</v>
      </c>
      <c r="D28" s="66">
        <f>H13</f>
        <v>31.249263157894738</v>
      </c>
      <c r="E28" s="67">
        <v>810</v>
      </c>
      <c r="F28" s="68">
        <v>1098.26</v>
      </c>
      <c r="G28" s="72">
        <f>IF(H28=0,0,+H28/(E28*D28)/12)</f>
        <v>1.3558765432098765</v>
      </c>
      <c r="H28" s="70">
        <f>+F28*D28*12</f>
        <v>411837.78906947369</v>
      </c>
    </row>
    <row r="29" spans="1:8" x14ac:dyDescent="0.25">
      <c r="A29" s="38"/>
      <c r="B29" s="71" t="s">
        <v>44</v>
      </c>
      <c r="C29" s="49" t="s">
        <v>45</v>
      </c>
      <c r="D29" s="66"/>
      <c r="E29" s="67">
        <v>810</v>
      </c>
      <c r="F29" s="68">
        <v>784.93925925925919</v>
      </c>
      <c r="G29" s="73">
        <f>IF(H29=0,0,+H29/(E29*D29)/12)</f>
        <v>0</v>
      </c>
      <c r="H29" s="70">
        <f>+F29*D29*12</f>
        <v>0</v>
      </c>
    </row>
    <row r="30" spans="1:8" x14ac:dyDescent="0.25">
      <c r="A30" s="38"/>
      <c r="B30" s="49" t="s">
        <v>46</v>
      </c>
      <c r="C30" s="49" t="s">
        <v>47</v>
      </c>
      <c r="D30" s="67">
        <v>0</v>
      </c>
      <c r="E30" s="67">
        <v>0</v>
      </c>
      <c r="F30" s="73">
        <v>0</v>
      </c>
      <c r="G30" s="73">
        <v>0</v>
      </c>
      <c r="H30" s="70">
        <f>+G30*E30*D30</f>
        <v>0</v>
      </c>
    </row>
    <row r="31" spans="1:8" x14ac:dyDescent="0.25">
      <c r="A31" s="38"/>
      <c r="B31" s="49"/>
      <c r="C31" s="49" t="s">
        <v>48</v>
      </c>
      <c r="D31" s="67">
        <v>0</v>
      </c>
      <c r="E31" s="67">
        <v>5000</v>
      </c>
      <c r="F31" s="73">
        <f>+G31/12</f>
        <v>0</v>
      </c>
      <c r="G31" s="73">
        <v>0</v>
      </c>
      <c r="H31" s="70">
        <f>+G31*E31*D31</f>
        <v>0</v>
      </c>
    </row>
    <row r="32" spans="1:8" x14ac:dyDescent="0.25">
      <c r="A32" s="38"/>
      <c r="B32" s="74" t="s">
        <v>49</v>
      </c>
      <c r="C32" s="74"/>
      <c r="D32" s="75">
        <f>+H11*H12</f>
        <v>180.2842105263158</v>
      </c>
      <c r="E32" s="76"/>
      <c r="F32" s="76"/>
      <c r="G32" s="76">
        <v>250</v>
      </c>
      <c r="H32" s="77">
        <f>+D32*G32*12</f>
        <v>540852.63157894742</v>
      </c>
    </row>
    <row r="33" spans="1:8" x14ac:dyDescent="0.25">
      <c r="A33" s="38"/>
      <c r="B33" s="49" t="s">
        <v>50</v>
      </c>
      <c r="C33" s="49"/>
      <c r="D33" s="66">
        <f>+H11</f>
        <v>240.37894736842105</v>
      </c>
      <c r="E33" s="67">
        <f>(E27*D27)+(E28*D28)</f>
        <v>194601.90315789473</v>
      </c>
      <c r="F33" s="73"/>
      <c r="G33" s="68"/>
      <c r="H33" s="70">
        <f>SUM(H27:H32)</f>
        <v>8367592.4206484212</v>
      </c>
    </row>
    <row r="34" spans="1:8" x14ac:dyDescent="0.25">
      <c r="A34" s="38"/>
      <c r="B34" s="49" t="s">
        <v>51</v>
      </c>
      <c r="C34" s="49"/>
      <c r="D34" s="78">
        <v>0.85</v>
      </c>
      <c r="E34" s="67">
        <f>+H10</f>
        <v>228360</v>
      </c>
      <c r="F34" s="68"/>
      <c r="G34" s="68"/>
      <c r="H34" s="70"/>
    </row>
    <row r="35" spans="1:8" x14ac:dyDescent="0.25">
      <c r="A35" s="38"/>
      <c r="B35" s="49" t="s">
        <v>52</v>
      </c>
      <c r="C35" s="49"/>
      <c r="D35" s="78">
        <v>1</v>
      </c>
      <c r="E35" s="67">
        <f>(E30*D30)+(D31*E31)</f>
        <v>0</v>
      </c>
      <c r="F35" s="68"/>
      <c r="G35" s="68"/>
      <c r="H35" s="70"/>
    </row>
    <row r="36" spans="1:8" x14ac:dyDescent="0.25">
      <c r="A36" s="38"/>
      <c r="B36" s="49"/>
      <c r="C36" s="49"/>
      <c r="D36" s="67"/>
      <c r="E36" s="68"/>
      <c r="F36" s="68"/>
      <c r="G36" s="68"/>
      <c r="H36" s="70"/>
    </row>
    <row r="37" spans="1:8" ht="18.75" x14ac:dyDescent="0.3">
      <c r="A37" s="79" t="s">
        <v>53</v>
      </c>
      <c r="B37" s="49"/>
      <c r="C37" s="49" t="str">
        <f>+C27</f>
        <v>Market Rate</v>
      </c>
      <c r="D37" s="67"/>
      <c r="E37" s="68"/>
      <c r="F37" s="68"/>
      <c r="G37" s="80">
        <v>0.05</v>
      </c>
      <c r="H37" s="70">
        <f>-G37*H27</f>
        <v>-370745.10000000003</v>
      </c>
    </row>
    <row r="38" spans="1:8" ht="12.75" customHeight="1" x14ac:dyDescent="0.3">
      <c r="A38" s="79"/>
      <c r="B38" s="49"/>
      <c r="C38" s="49" t="str">
        <f>+C28</f>
        <v>Low Income</v>
      </c>
      <c r="D38" s="67"/>
      <c r="E38" s="68"/>
      <c r="F38" s="68"/>
      <c r="G38" s="80">
        <v>0</v>
      </c>
      <c r="H38" s="70">
        <f>-G38*H28</f>
        <v>0</v>
      </c>
    </row>
    <row r="39" spans="1:8" ht="12.75" customHeight="1" x14ac:dyDescent="0.3">
      <c r="A39" s="79"/>
      <c r="B39" s="49"/>
      <c r="C39" s="49" t="str">
        <f>+C30</f>
        <v>Market Rate Retail</v>
      </c>
      <c r="D39" s="67"/>
      <c r="E39" s="68"/>
      <c r="F39" s="68"/>
      <c r="G39" s="80">
        <v>0.1</v>
      </c>
      <c r="H39" s="70">
        <f>-G39*H30</f>
        <v>0</v>
      </c>
    </row>
    <row r="40" spans="1:8" x14ac:dyDescent="0.25">
      <c r="A40" s="38"/>
      <c r="B40" s="74"/>
      <c r="C40" s="74" t="str">
        <f>+C31</f>
        <v>Affordable Innovation</v>
      </c>
      <c r="D40" s="75"/>
      <c r="E40" s="76"/>
      <c r="F40" s="76"/>
      <c r="G40" s="81">
        <v>0.2</v>
      </c>
      <c r="H40" s="77">
        <f>-G40*H31</f>
        <v>0</v>
      </c>
    </row>
    <row r="41" spans="1:8" x14ac:dyDescent="0.25">
      <c r="A41" s="38"/>
      <c r="B41" s="49" t="s">
        <v>54</v>
      </c>
      <c r="C41" s="49"/>
      <c r="D41" s="67"/>
      <c r="E41" s="68"/>
      <c r="F41" s="68"/>
      <c r="G41" s="80"/>
      <c r="H41" s="70">
        <f>SUM(H37:H40)</f>
        <v>-370745.10000000003</v>
      </c>
    </row>
    <row r="42" spans="1:8" s="83" customFormat="1" ht="18.75" x14ac:dyDescent="0.3">
      <c r="A42" s="82"/>
      <c r="C42" s="45"/>
      <c r="D42" s="49"/>
      <c r="E42" s="49"/>
      <c r="F42" s="84"/>
      <c r="G42" s="85"/>
      <c r="H42" s="70"/>
    </row>
    <row r="43" spans="1:8" ht="18.75" x14ac:dyDescent="0.3">
      <c r="A43" s="79" t="s">
        <v>55</v>
      </c>
      <c r="B43" s="49"/>
      <c r="C43" s="49"/>
      <c r="D43" s="67"/>
      <c r="E43" s="68"/>
      <c r="F43" s="68"/>
      <c r="G43" s="68"/>
      <c r="H43" s="70">
        <f>+H33+H41</f>
        <v>7996847.3206484215</v>
      </c>
    </row>
    <row r="44" spans="1:8" x14ac:dyDescent="0.25">
      <c r="A44" s="38"/>
      <c r="B44" s="49"/>
      <c r="C44" s="49"/>
      <c r="D44" s="67"/>
      <c r="E44" s="68"/>
      <c r="F44" s="68"/>
      <c r="G44" s="68"/>
      <c r="H44" s="70"/>
    </row>
    <row r="45" spans="1:8" ht="18.75" x14ac:dyDescent="0.3">
      <c r="A45" s="79" t="s">
        <v>56</v>
      </c>
      <c r="B45" s="49"/>
      <c r="C45" s="49"/>
      <c r="D45" s="49"/>
      <c r="E45" s="49"/>
      <c r="F45" s="49"/>
      <c r="G45" s="49"/>
      <c r="H45" s="70"/>
    </row>
    <row r="46" spans="1:8" x14ac:dyDescent="0.25">
      <c r="A46" s="38"/>
      <c r="B46" s="49" t="s">
        <v>57</v>
      </c>
      <c r="C46" s="49" t="s">
        <v>58</v>
      </c>
      <c r="D46" s="49"/>
      <c r="E46" s="49"/>
      <c r="F46" s="68">
        <v>7500</v>
      </c>
      <c r="G46" s="68" t="s">
        <v>59</v>
      </c>
      <c r="H46" s="70">
        <f>-F46*D33</f>
        <v>-1802842.105263158</v>
      </c>
    </row>
    <row r="47" spans="1:8" x14ac:dyDescent="0.25">
      <c r="A47" s="38"/>
      <c r="B47" s="49"/>
      <c r="C47" s="49" t="s">
        <v>60</v>
      </c>
      <c r="D47" s="78">
        <v>7.0000000000000007E-2</v>
      </c>
      <c r="E47" s="49" t="s">
        <v>61</v>
      </c>
      <c r="F47" s="68">
        <f>ROUND(-H47/D33,-2)</f>
        <v>2400</v>
      </c>
      <c r="G47" s="68" t="s">
        <v>59</v>
      </c>
      <c r="H47" s="70">
        <f>(H27+H28+H32)*-D47</f>
        <v>-585731.46944538958</v>
      </c>
    </row>
    <row r="48" spans="1:8" x14ac:dyDescent="0.25">
      <c r="A48" s="38"/>
      <c r="B48" s="49"/>
      <c r="C48" s="49" t="s">
        <v>62</v>
      </c>
      <c r="D48" s="80">
        <v>2.5000000000000001E-2</v>
      </c>
      <c r="E48" s="49" t="s">
        <v>63</v>
      </c>
      <c r="F48" s="68">
        <f>-H48/D33</f>
        <v>826.73762476300578</v>
      </c>
      <c r="G48" s="68" t="s">
        <v>59</v>
      </c>
      <c r="H48" s="70">
        <f>-D48*((H27+H28+H32)*(1-G37))</f>
        <v>-198730.31999039999</v>
      </c>
    </row>
    <row r="49" spans="1:11" x14ac:dyDescent="0.25">
      <c r="A49" s="38"/>
      <c r="B49" s="49"/>
      <c r="C49" s="49" t="s">
        <v>64</v>
      </c>
      <c r="D49" s="49"/>
      <c r="E49" s="49"/>
      <c r="F49" s="68">
        <v>250</v>
      </c>
      <c r="G49" s="68" t="s">
        <v>59</v>
      </c>
      <c r="H49" s="70">
        <f>-F49*D33</f>
        <v>-60094.73684210526</v>
      </c>
      <c r="I49" s="1"/>
      <c r="J49" s="1"/>
      <c r="K49" s="1"/>
    </row>
    <row r="50" spans="1:11" x14ac:dyDescent="0.25">
      <c r="A50" s="38"/>
      <c r="B50" s="74" t="s">
        <v>46</v>
      </c>
      <c r="C50" s="86" t="s">
        <v>65</v>
      </c>
      <c r="D50" s="74"/>
      <c r="E50" s="74"/>
      <c r="F50" s="87">
        <v>0.02</v>
      </c>
      <c r="G50" s="74" t="s">
        <v>66</v>
      </c>
      <c r="H50" s="77">
        <f>-F50*(H30+H31)</f>
        <v>0</v>
      </c>
      <c r="I50" s="1"/>
      <c r="J50" s="1"/>
      <c r="K50" s="1"/>
    </row>
    <row r="51" spans="1:11" x14ac:dyDescent="0.25">
      <c r="A51" s="38"/>
      <c r="B51" s="49" t="s">
        <v>67</v>
      </c>
      <c r="C51" s="49"/>
      <c r="D51" s="78">
        <f>-H51/H43</f>
        <v>0.33105529284087787</v>
      </c>
      <c r="E51" s="68" t="s">
        <v>68</v>
      </c>
      <c r="F51" s="68">
        <f>-H51/D33</f>
        <v>11013.437992485549</v>
      </c>
      <c r="G51" s="68" t="s">
        <v>59</v>
      </c>
      <c r="H51" s="70">
        <f>SUM(H46:H50)</f>
        <v>-2647398.6315410528</v>
      </c>
      <c r="I51" s="1"/>
      <c r="J51" s="1"/>
      <c r="K51" s="1"/>
    </row>
    <row r="52" spans="1:11" ht="15.75" thickBot="1" x14ac:dyDescent="0.3">
      <c r="A52" s="38"/>
      <c r="B52" s="49"/>
      <c r="C52" s="49"/>
      <c r="D52" s="49"/>
      <c r="E52" s="32"/>
      <c r="F52" s="49"/>
      <c r="G52" s="49"/>
      <c r="H52" s="70"/>
      <c r="I52" s="1"/>
      <c r="J52" s="1"/>
      <c r="K52" s="1"/>
    </row>
    <row r="53" spans="1:11" ht="18.75" x14ac:dyDescent="0.3">
      <c r="A53" s="79" t="s">
        <v>69</v>
      </c>
      <c r="B53" s="49"/>
      <c r="C53" s="49"/>
      <c r="D53" s="78">
        <f>+H53/H43</f>
        <v>0.66894470715912213</v>
      </c>
      <c r="E53" s="68" t="s">
        <v>68</v>
      </c>
      <c r="F53" s="68">
        <f>+H53/D33</f>
        <v>22254.231278034684</v>
      </c>
      <c r="G53" s="68" t="s">
        <v>59</v>
      </c>
      <c r="H53" s="70">
        <f>+H43+H51</f>
        <v>5349448.6891073687</v>
      </c>
      <c r="I53" s="1"/>
      <c r="J53" s="88">
        <f>+H53/1.25</f>
        <v>4279558.951285895</v>
      </c>
      <c r="K53" s="89" t="s">
        <v>70</v>
      </c>
    </row>
    <row r="54" spans="1:11" x14ac:dyDescent="0.25">
      <c r="A54" s="38"/>
      <c r="B54" s="49"/>
      <c r="C54" s="49"/>
      <c r="D54" s="49"/>
      <c r="E54" s="49"/>
      <c r="F54" s="49"/>
      <c r="G54" s="49"/>
      <c r="H54" s="70"/>
      <c r="I54" s="1"/>
      <c r="J54" s="90">
        <f>-J53/(PMT(0.04/12,30*12,1)*12)</f>
        <v>74700143.877765596</v>
      </c>
      <c r="K54" s="91" t="s">
        <v>71</v>
      </c>
    </row>
    <row r="55" spans="1:11" ht="18.75" x14ac:dyDescent="0.3">
      <c r="A55" s="79" t="s">
        <v>72</v>
      </c>
      <c r="B55" s="49"/>
      <c r="C55" s="49"/>
      <c r="D55" s="49"/>
      <c r="E55" s="49"/>
      <c r="F55" s="49"/>
      <c r="G55" s="49"/>
      <c r="H55" s="70"/>
      <c r="I55" s="1"/>
      <c r="J55" s="92">
        <f>+H69-J54</f>
        <v>13199856.122234404</v>
      </c>
      <c r="K55" s="91" t="s">
        <v>73</v>
      </c>
    </row>
    <row r="56" spans="1:11" x14ac:dyDescent="0.25">
      <c r="A56" s="38"/>
      <c r="B56" s="49" t="s">
        <v>74</v>
      </c>
      <c r="C56" s="49"/>
      <c r="D56" s="49"/>
      <c r="E56" s="93" t="s">
        <v>75</v>
      </c>
      <c r="F56" s="94">
        <v>0.05</v>
      </c>
      <c r="G56" s="49" t="s">
        <v>76</v>
      </c>
      <c r="H56" s="70">
        <f>+H53/F56</f>
        <v>106988973.78214736</v>
      </c>
      <c r="I56" s="1"/>
      <c r="J56" s="92">
        <f>+H53-J53</f>
        <v>1069889.7378214737</v>
      </c>
      <c r="K56" s="91" t="s">
        <v>77</v>
      </c>
    </row>
    <row r="57" spans="1:11" ht="15.75" thickBot="1" x14ac:dyDescent="0.3">
      <c r="A57" s="38"/>
      <c r="B57" s="49"/>
      <c r="C57" s="49"/>
      <c r="D57" s="49"/>
      <c r="E57" s="49"/>
      <c r="F57" s="49"/>
      <c r="G57" s="93" t="s">
        <v>78</v>
      </c>
      <c r="H57" s="70">
        <f>ROUND(H56,-5)</f>
        <v>107000000</v>
      </c>
      <c r="I57" s="1"/>
      <c r="J57" s="95">
        <f>+J56/J55</f>
        <v>8.1053136330729053E-2</v>
      </c>
      <c r="K57" s="96" t="s">
        <v>79</v>
      </c>
    </row>
    <row r="58" spans="1:11" x14ac:dyDescent="0.25">
      <c r="A58" s="38"/>
      <c r="B58" s="49"/>
      <c r="C58" s="49"/>
      <c r="D58" s="49"/>
      <c r="E58" s="49"/>
      <c r="F58" s="49"/>
      <c r="G58" s="93" t="s">
        <v>80</v>
      </c>
      <c r="H58" s="70">
        <f>+H57/E34</f>
        <v>468.55841653529512</v>
      </c>
      <c r="I58" s="1"/>
      <c r="J58" s="1"/>
      <c r="K58" s="1"/>
    </row>
    <row r="59" spans="1:11" x14ac:dyDescent="0.25">
      <c r="A59" s="38"/>
      <c r="B59" s="49"/>
      <c r="C59" s="49"/>
      <c r="D59" s="49"/>
      <c r="E59" s="49"/>
      <c r="F59" s="49"/>
      <c r="G59" s="93" t="s">
        <v>59</v>
      </c>
      <c r="H59" s="70">
        <f>+H57/D33</f>
        <v>445130.49570853042</v>
      </c>
      <c r="I59" s="1"/>
      <c r="J59" s="1">
        <v>646091.59779614327</v>
      </c>
      <c r="K59" s="2">
        <f>+J59-H59</f>
        <v>200961.10208761285</v>
      </c>
    </row>
    <row r="60" spans="1:11" x14ac:dyDescent="0.25">
      <c r="A60" s="97"/>
      <c r="B60" s="74"/>
      <c r="C60" s="74"/>
      <c r="D60" s="74"/>
      <c r="E60" s="74"/>
      <c r="F60" s="74"/>
      <c r="G60" s="98"/>
      <c r="H60" s="77"/>
      <c r="I60" s="1"/>
      <c r="J60" s="1"/>
      <c r="K60" s="1"/>
    </row>
    <row r="61" spans="1:11" x14ac:dyDescent="0.25">
      <c r="A61" s="38"/>
      <c r="B61" s="49"/>
      <c r="C61" s="49"/>
      <c r="D61" s="49"/>
      <c r="E61" s="49"/>
      <c r="F61" s="94"/>
      <c r="G61" s="49"/>
      <c r="H61" s="70"/>
      <c r="I61" s="1"/>
      <c r="J61" s="1"/>
      <c r="K61" s="1"/>
    </row>
    <row r="62" spans="1:11" ht="19.5" thickBot="1" x14ac:dyDescent="0.35">
      <c r="A62" s="79" t="s">
        <v>81</v>
      </c>
      <c r="B62" s="49"/>
      <c r="C62" s="49"/>
      <c r="D62" s="49"/>
      <c r="E62" s="49"/>
      <c r="F62" s="49"/>
      <c r="G62" s="49"/>
      <c r="H62" s="70"/>
      <c r="I62" s="1"/>
      <c r="J62" s="1"/>
      <c r="K62" s="1"/>
    </row>
    <row r="63" spans="1:11" ht="19.5" thickBot="1" x14ac:dyDescent="0.35">
      <c r="A63" s="79"/>
      <c r="B63" s="49" t="s">
        <v>82</v>
      </c>
      <c r="C63" s="49"/>
      <c r="D63" s="68">
        <f>+H63/D33</f>
        <v>45722.390085829393</v>
      </c>
      <c r="E63" s="49" t="s">
        <v>59</v>
      </c>
      <c r="F63" s="73">
        <v>70</v>
      </c>
      <c r="G63" s="49" t="s">
        <v>83</v>
      </c>
      <c r="H63" s="99">
        <f>F63*H8</f>
        <v>10990700</v>
      </c>
      <c r="I63" s="1"/>
      <c r="J63" s="1"/>
      <c r="K63" s="1"/>
    </row>
    <row r="64" spans="1:11" ht="12.75" customHeight="1" x14ac:dyDescent="0.3">
      <c r="A64" s="79"/>
      <c r="B64" s="49" t="s">
        <v>84</v>
      </c>
      <c r="C64" s="49"/>
      <c r="D64" s="68">
        <v>300000</v>
      </c>
      <c r="E64" s="49" t="s">
        <v>59</v>
      </c>
      <c r="F64" s="67">
        <f>H18</f>
        <v>0</v>
      </c>
      <c r="G64" s="49" t="s">
        <v>35</v>
      </c>
      <c r="H64" s="70">
        <f>+F64*D64</f>
        <v>0</v>
      </c>
      <c r="I64" s="1"/>
      <c r="J64" s="1"/>
      <c r="K64" s="1"/>
    </row>
    <row r="65" spans="1:10" x14ac:dyDescent="0.25">
      <c r="A65" s="38"/>
      <c r="B65" s="49" t="s">
        <v>57</v>
      </c>
      <c r="C65" s="49"/>
      <c r="D65" s="49"/>
      <c r="E65" s="49"/>
      <c r="F65" s="73">
        <f>280*0.92</f>
        <v>257.60000000000002</v>
      </c>
      <c r="G65" s="49" t="s">
        <v>85</v>
      </c>
      <c r="H65" s="70">
        <f>+F65*E34</f>
        <v>58825536.000000007</v>
      </c>
      <c r="I65" s="1"/>
      <c r="J65" s="1"/>
    </row>
    <row r="66" spans="1:10" x14ac:dyDescent="0.25">
      <c r="A66" s="38"/>
      <c r="B66" s="49" t="s">
        <v>46</v>
      </c>
      <c r="C66" s="49"/>
      <c r="D66" s="49"/>
      <c r="E66" s="49"/>
      <c r="F66" s="73">
        <v>280</v>
      </c>
      <c r="G66" s="49" t="s">
        <v>85</v>
      </c>
      <c r="H66" s="70">
        <f>F66*(E35)</f>
        <v>0</v>
      </c>
      <c r="I66" s="1"/>
      <c r="J66" s="1"/>
    </row>
    <row r="67" spans="1:10" x14ac:dyDescent="0.25">
      <c r="A67" s="38"/>
      <c r="B67" s="49" t="s">
        <v>86</v>
      </c>
      <c r="C67" s="49" t="s">
        <v>87</v>
      </c>
      <c r="D67" s="67">
        <f>+D32</f>
        <v>180.2842105263158</v>
      </c>
      <c r="E67" s="32" t="s">
        <v>88</v>
      </c>
      <c r="F67" s="68">
        <v>35000</v>
      </c>
      <c r="G67" s="49" t="s">
        <v>89</v>
      </c>
      <c r="H67" s="70">
        <f>+F67*D32</f>
        <v>6309947.3684210535</v>
      </c>
      <c r="I67" s="1"/>
      <c r="J67" s="1"/>
    </row>
    <row r="68" spans="1:10" x14ac:dyDescent="0.25">
      <c r="A68" s="38"/>
      <c r="B68" s="74" t="s">
        <v>90</v>
      </c>
      <c r="C68" s="74"/>
      <c r="D68" s="74"/>
      <c r="E68" s="74"/>
      <c r="F68" s="87">
        <v>0.2</v>
      </c>
      <c r="G68" s="74" t="s">
        <v>91</v>
      </c>
      <c r="H68" s="77">
        <f>ROUND((H65+H66)*F68,-5)</f>
        <v>11800000</v>
      </c>
      <c r="I68" s="1"/>
      <c r="J68" s="1"/>
    </row>
    <row r="69" spans="1:10" x14ac:dyDescent="0.25">
      <c r="A69" s="38"/>
      <c r="B69" s="49"/>
      <c r="C69" s="49"/>
      <c r="D69" s="49"/>
      <c r="E69" s="49"/>
      <c r="F69" s="49"/>
      <c r="G69" s="93" t="s">
        <v>78</v>
      </c>
      <c r="H69" s="70">
        <f>ROUND(SUM(H63:H68),-5)</f>
        <v>87900000</v>
      </c>
      <c r="I69" s="1"/>
      <c r="J69" s="1"/>
    </row>
    <row r="70" spans="1:10" x14ac:dyDescent="0.25">
      <c r="A70" s="38"/>
      <c r="B70" s="49"/>
      <c r="C70" s="49"/>
      <c r="D70" s="49"/>
      <c r="E70" s="49"/>
      <c r="F70" s="49"/>
      <c r="G70" s="93" t="s">
        <v>80</v>
      </c>
      <c r="H70" s="70">
        <f>+H69/(E34+E35)</f>
        <v>384.91854965843407</v>
      </c>
      <c r="I70" s="1"/>
      <c r="J70" s="1"/>
    </row>
    <row r="71" spans="1:10" x14ac:dyDescent="0.25">
      <c r="A71" s="38"/>
      <c r="B71" s="49"/>
      <c r="C71" s="49"/>
      <c r="D71" s="49"/>
      <c r="E71" s="49"/>
      <c r="F71" s="49"/>
      <c r="G71" s="93" t="s">
        <v>59</v>
      </c>
      <c r="H71" s="70">
        <f>+H69/H11</f>
        <v>365672.62217551237</v>
      </c>
      <c r="I71" s="1"/>
      <c r="J71" s="1">
        <v>486340.6795224977</v>
      </c>
    </row>
    <row r="72" spans="1:10" x14ac:dyDescent="0.25">
      <c r="A72" s="38"/>
      <c r="B72" s="49"/>
      <c r="C72" s="49"/>
      <c r="D72" s="49"/>
      <c r="E72" s="49"/>
      <c r="F72" s="49"/>
      <c r="G72" s="49"/>
      <c r="H72" s="70"/>
      <c r="I72" s="1"/>
      <c r="J72" s="1"/>
    </row>
    <row r="73" spans="1:10" ht="18.75" x14ac:dyDescent="0.3">
      <c r="A73" s="100" t="s">
        <v>92</v>
      </c>
      <c r="B73" s="49"/>
      <c r="C73" s="49"/>
      <c r="D73" s="49"/>
      <c r="E73" s="93" t="s">
        <v>93</v>
      </c>
      <c r="F73" s="80">
        <f>+H53/H69</f>
        <v>6.0858346861289749E-2</v>
      </c>
      <c r="G73" s="93" t="s">
        <v>94</v>
      </c>
      <c r="H73" s="70">
        <f>+H57-H69</f>
        <v>19100000</v>
      </c>
      <c r="I73" s="1"/>
      <c r="J73" s="1"/>
    </row>
    <row r="74" spans="1:10" ht="15.75" thickBot="1" x14ac:dyDescent="0.3">
      <c r="A74" s="101"/>
      <c r="B74" s="102"/>
      <c r="C74" s="102"/>
      <c r="D74" s="103"/>
      <c r="E74" s="103"/>
      <c r="F74" s="103"/>
      <c r="G74" s="102"/>
      <c r="H74" s="104"/>
      <c r="I74" s="1"/>
      <c r="J74" s="1"/>
    </row>
    <row r="75" spans="1:10" x14ac:dyDescent="0.25">
      <c r="A75" s="38"/>
      <c r="B75" s="32"/>
      <c r="C75" s="32"/>
      <c r="D75" s="32"/>
      <c r="E75" s="32"/>
      <c r="F75" s="32"/>
      <c r="G75" s="32"/>
      <c r="H75" s="32"/>
      <c r="I75" s="1"/>
      <c r="J75" s="1"/>
    </row>
    <row r="77" spans="1:10" ht="15.75" thickBo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</row>
    <row r="78" spans="1:10" ht="18.75" x14ac:dyDescent="0.3">
      <c r="A78" s="3" t="s">
        <v>7</v>
      </c>
      <c r="B78" s="4"/>
      <c r="C78" s="5" t="s">
        <v>8</v>
      </c>
      <c r="D78" s="6" t="s">
        <v>9</v>
      </c>
      <c r="E78" s="7"/>
      <c r="F78" s="7"/>
      <c r="G78" s="8" t="s">
        <v>10</v>
      </c>
      <c r="H78" s="25" t="s">
        <v>11</v>
      </c>
      <c r="I78" s="1"/>
      <c r="J78" s="1"/>
    </row>
    <row r="79" spans="1:10" ht="18.75" x14ac:dyDescent="0.3">
      <c r="A79" s="26" t="s">
        <v>95</v>
      </c>
      <c r="B79" s="27"/>
      <c r="C79" s="11"/>
      <c r="D79" s="28" t="s">
        <v>1</v>
      </c>
      <c r="E79" s="12" t="s">
        <v>13</v>
      </c>
      <c r="F79" s="29"/>
      <c r="G79" s="30" t="s">
        <v>14</v>
      </c>
      <c r="H79" s="31">
        <v>93255</v>
      </c>
      <c r="I79" s="1"/>
      <c r="J79" s="1"/>
    </row>
    <row r="80" spans="1:10" ht="19.5" thickBot="1" x14ac:dyDescent="0.35">
      <c r="A80" s="26"/>
      <c r="B80" s="27"/>
      <c r="C80" s="32"/>
      <c r="D80" s="11" t="s">
        <v>16</v>
      </c>
      <c r="E80" s="12"/>
      <c r="F80" s="33"/>
      <c r="G80" s="14" t="s">
        <v>4</v>
      </c>
      <c r="H80" s="15">
        <f>H81/H79</f>
        <v>1.9423623398209211</v>
      </c>
      <c r="I80" s="1"/>
      <c r="J80" s="1"/>
    </row>
    <row r="81" spans="1:10" ht="19.5" thickBot="1" x14ac:dyDescent="0.35">
      <c r="A81" s="34" t="s">
        <v>17</v>
      </c>
      <c r="B81" s="35"/>
      <c r="C81" s="36"/>
      <c r="D81" s="11" t="s">
        <v>18</v>
      </c>
      <c r="E81" s="17"/>
      <c r="F81" s="17"/>
      <c r="G81" s="37" t="s">
        <v>19</v>
      </c>
      <c r="H81" s="31">
        <v>181135</v>
      </c>
      <c r="I81" s="1"/>
      <c r="J81" s="105" t="s">
        <v>96</v>
      </c>
    </row>
    <row r="82" spans="1:10" ht="18.75" x14ac:dyDescent="0.3">
      <c r="A82" s="38"/>
      <c r="B82" s="32"/>
      <c r="C82" s="36"/>
      <c r="D82" s="11" t="s">
        <v>5</v>
      </c>
      <c r="E82" s="17"/>
      <c r="F82" s="17"/>
      <c r="G82" s="18">
        <f>G11</f>
        <v>950</v>
      </c>
      <c r="H82" s="39">
        <f>H81/G82</f>
        <v>190.66842105263157</v>
      </c>
      <c r="I82" s="1"/>
      <c r="J82" s="106">
        <f>H11+H82</f>
        <v>431.04736842105262</v>
      </c>
    </row>
    <row r="83" spans="1:10" ht="18.75" x14ac:dyDescent="0.3">
      <c r="A83" s="38"/>
      <c r="B83" s="32"/>
      <c r="C83" s="1"/>
      <c r="D83" s="11" t="s">
        <v>20</v>
      </c>
      <c r="E83" s="17"/>
      <c r="F83" s="17"/>
      <c r="G83" s="41"/>
      <c r="H83" s="42">
        <v>0.75</v>
      </c>
      <c r="I83" s="1"/>
      <c r="J83" s="107"/>
    </row>
    <row r="84" spans="1:10" ht="18.75" x14ac:dyDescent="0.3">
      <c r="A84" s="38"/>
      <c r="B84" s="32"/>
      <c r="C84" s="21" t="s">
        <v>21</v>
      </c>
      <c r="D84" s="21" t="s">
        <v>6</v>
      </c>
      <c r="E84" s="22"/>
      <c r="F84" s="22"/>
      <c r="G84" s="21"/>
      <c r="H84" s="23">
        <v>25</v>
      </c>
      <c r="I84" s="44">
        <f>H82*0.13</f>
        <v>24.786894736842104</v>
      </c>
      <c r="J84" s="108">
        <f>H13+H84</f>
        <v>56.249263157894738</v>
      </c>
    </row>
    <row r="85" spans="1:10" ht="18.75" x14ac:dyDescent="0.3">
      <c r="A85" s="38"/>
      <c r="B85" s="32"/>
      <c r="C85" s="45"/>
      <c r="D85" s="21" t="s">
        <v>97</v>
      </c>
      <c r="E85" s="22"/>
      <c r="F85" s="22"/>
      <c r="G85" s="21"/>
      <c r="H85" s="23">
        <v>0</v>
      </c>
      <c r="I85" s="1"/>
      <c r="J85" s="108"/>
    </row>
    <row r="86" spans="1:10" ht="18.75" x14ac:dyDescent="0.3">
      <c r="A86" s="38"/>
      <c r="B86" s="32"/>
      <c r="C86" s="45"/>
      <c r="D86" s="21" t="s">
        <v>23</v>
      </c>
      <c r="E86" s="22"/>
      <c r="F86" s="22"/>
      <c r="G86" s="21"/>
      <c r="H86" s="23">
        <f>SUM(H84:H85)</f>
        <v>25</v>
      </c>
      <c r="I86" s="1"/>
      <c r="J86" s="108">
        <f>H15+H86</f>
        <v>56.249263157894738</v>
      </c>
    </row>
    <row r="87" spans="1:10" ht="19.5" thickBot="1" x14ac:dyDescent="0.35">
      <c r="A87" s="38"/>
      <c r="B87" s="32"/>
      <c r="C87" s="1"/>
      <c r="D87" s="21" t="s">
        <v>24</v>
      </c>
      <c r="E87" s="22"/>
      <c r="F87" s="22"/>
      <c r="G87" s="21"/>
      <c r="H87" s="46">
        <f>H86/H82</f>
        <v>0.13111767466254451</v>
      </c>
      <c r="I87" s="1"/>
      <c r="J87" s="109">
        <f>J86/J82</f>
        <v>0.1304943894308844</v>
      </c>
    </row>
    <row r="88" spans="1:10" ht="18.75" x14ac:dyDescent="0.3">
      <c r="A88" s="38"/>
      <c r="B88" s="32"/>
      <c r="C88" s="45"/>
      <c r="D88" s="21" t="s">
        <v>17</v>
      </c>
      <c r="E88" s="22"/>
      <c r="F88" s="22"/>
      <c r="G88" s="21"/>
      <c r="H88" s="47">
        <f>H84/H86</f>
        <v>1</v>
      </c>
      <c r="I88" s="1"/>
      <c r="J88" s="1"/>
    </row>
    <row r="89" spans="1:10" ht="18.75" x14ac:dyDescent="0.3">
      <c r="A89" s="38"/>
      <c r="B89" s="32"/>
      <c r="C89" s="36"/>
      <c r="D89" s="21" t="s">
        <v>98</v>
      </c>
      <c r="E89" s="22"/>
      <c r="F89" s="22"/>
      <c r="G89" s="21"/>
      <c r="H89" s="23">
        <v>0</v>
      </c>
      <c r="I89" s="1"/>
      <c r="J89" s="1"/>
    </row>
    <row r="90" spans="1:10" ht="18.75" x14ac:dyDescent="0.3">
      <c r="A90" s="38"/>
      <c r="B90" s="32"/>
      <c r="C90" s="36"/>
      <c r="D90" s="21" t="s">
        <v>27</v>
      </c>
      <c r="E90" s="22"/>
      <c r="F90" s="22"/>
      <c r="G90" s="21"/>
      <c r="H90" s="48">
        <v>300000</v>
      </c>
      <c r="I90" s="1"/>
      <c r="J90" s="1"/>
    </row>
    <row r="91" spans="1:10" ht="19.5" thickBot="1" x14ac:dyDescent="0.35">
      <c r="A91" s="38"/>
      <c r="B91" s="32"/>
      <c r="C91" s="49"/>
      <c r="D91" s="45"/>
      <c r="E91" s="45"/>
      <c r="F91" s="49"/>
      <c r="G91" s="45"/>
      <c r="H91" s="50"/>
      <c r="I91" s="1"/>
      <c r="J91" s="1"/>
    </row>
    <row r="92" spans="1:10" ht="19.5" thickBot="1" x14ac:dyDescent="0.35">
      <c r="A92" s="38"/>
      <c r="B92" s="32"/>
      <c r="C92" s="51" t="s">
        <v>28</v>
      </c>
      <c r="D92" s="51" t="s">
        <v>29</v>
      </c>
      <c r="E92" s="52"/>
      <c r="F92" s="53">
        <v>6.0999999999999999E-2</v>
      </c>
      <c r="G92" s="54" t="s">
        <v>30</v>
      </c>
      <c r="H92" s="55">
        <f>+F143</f>
        <v>6.2999232987329415E-2</v>
      </c>
      <c r="I92" s="1"/>
      <c r="J92" s="1"/>
    </row>
    <row r="93" spans="1:10" ht="18.75" x14ac:dyDescent="0.3">
      <c r="A93" s="38"/>
      <c r="B93" s="32"/>
      <c r="C93" s="36"/>
      <c r="D93" s="51" t="s">
        <v>31</v>
      </c>
      <c r="E93" s="52"/>
      <c r="F93" s="56">
        <f>F23</f>
        <v>3.65</v>
      </c>
      <c r="G93" s="51" t="s">
        <v>32</v>
      </c>
      <c r="H93" s="57"/>
      <c r="I93" s="1"/>
      <c r="J93" s="1"/>
    </row>
    <row r="94" spans="1:10" ht="19.5" thickBot="1" x14ac:dyDescent="0.35">
      <c r="A94" s="38"/>
      <c r="B94" s="32"/>
      <c r="C94" s="32"/>
      <c r="D94" s="36"/>
      <c r="E94" s="45"/>
      <c r="F94" s="49"/>
      <c r="G94" s="45"/>
      <c r="H94" s="58"/>
      <c r="I94" s="1"/>
      <c r="J94" s="1"/>
    </row>
    <row r="95" spans="1:10" ht="18.75" x14ac:dyDescent="0.3">
      <c r="A95" s="59" t="s">
        <v>33</v>
      </c>
      <c r="B95" s="60"/>
      <c r="C95" s="60"/>
      <c r="D95" s="60"/>
      <c r="E95" s="60"/>
      <c r="F95" s="60"/>
      <c r="G95" s="60"/>
      <c r="H95" s="61"/>
      <c r="I95" s="1"/>
      <c r="J95" s="1"/>
    </row>
    <row r="96" spans="1:10" ht="30" x14ac:dyDescent="0.25">
      <c r="A96" s="62" t="s">
        <v>34</v>
      </c>
      <c r="B96" s="63"/>
      <c r="C96" s="63"/>
      <c r="D96" s="64" t="s">
        <v>35</v>
      </c>
      <c r="E96" s="64" t="s">
        <v>36</v>
      </c>
      <c r="F96" s="64" t="s">
        <v>37</v>
      </c>
      <c r="G96" s="64" t="s">
        <v>38</v>
      </c>
      <c r="H96" s="65" t="s">
        <v>39</v>
      </c>
      <c r="I96" s="1"/>
      <c r="J96" s="1"/>
    </row>
    <row r="97" spans="1:8" x14ac:dyDescent="0.25">
      <c r="A97" s="38"/>
      <c r="B97" s="49" t="s">
        <v>40</v>
      </c>
      <c r="C97" s="49" t="s">
        <v>41</v>
      </c>
      <c r="D97" s="66">
        <f>ROUND(H82-D98-D99,0)</f>
        <v>166</v>
      </c>
      <c r="E97" s="67">
        <v>810</v>
      </c>
      <c r="F97" s="68">
        <f>+G97*E97</f>
        <v>2956.5</v>
      </c>
      <c r="G97" s="69">
        <f>F93</f>
        <v>3.65</v>
      </c>
      <c r="H97" s="70">
        <f>+D97*F97*12</f>
        <v>5889348</v>
      </c>
    </row>
    <row r="98" spans="1:8" x14ac:dyDescent="0.25">
      <c r="A98" s="38"/>
      <c r="B98" s="71" t="s">
        <v>42</v>
      </c>
      <c r="C98" s="49" t="s">
        <v>43</v>
      </c>
      <c r="D98" s="66">
        <f>H84</f>
        <v>25</v>
      </c>
      <c r="E98" s="67">
        <v>810</v>
      </c>
      <c r="F98" s="68">
        <v>1098.26</v>
      </c>
      <c r="G98" s="72">
        <f>IF(H98=0,0,+H98/(E98*D98)/12)</f>
        <v>1.3558765432098765</v>
      </c>
      <c r="H98" s="70">
        <f>+F98*D98*12</f>
        <v>329478</v>
      </c>
    </row>
    <row r="99" spans="1:8" x14ac:dyDescent="0.25">
      <c r="A99" s="38"/>
      <c r="B99" s="71" t="s">
        <v>44</v>
      </c>
      <c r="C99" s="49" t="s">
        <v>45</v>
      </c>
      <c r="D99" s="66">
        <f>H85</f>
        <v>0</v>
      </c>
      <c r="E99" s="67">
        <v>810</v>
      </c>
      <c r="F99" s="68">
        <v>784.93925925925919</v>
      </c>
      <c r="G99" s="73">
        <f>IF(H99=0,0,+H99/(E99*D99)/12)</f>
        <v>0</v>
      </c>
      <c r="H99" s="70">
        <f>+F99*D99*12</f>
        <v>0</v>
      </c>
    </row>
    <row r="100" spans="1:8" x14ac:dyDescent="0.25">
      <c r="A100" s="38"/>
      <c r="B100" s="49" t="s">
        <v>46</v>
      </c>
      <c r="C100" s="49" t="s">
        <v>47</v>
      </c>
      <c r="D100" s="67">
        <v>0</v>
      </c>
      <c r="E100" s="67">
        <v>0</v>
      </c>
      <c r="F100" s="73">
        <v>0</v>
      </c>
      <c r="G100" s="73">
        <v>0</v>
      </c>
      <c r="H100" s="70">
        <f>+G100*E100*D100</f>
        <v>0</v>
      </c>
    </row>
    <row r="101" spans="1:8" x14ac:dyDescent="0.25">
      <c r="A101" s="38"/>
      <c r="B101" s="49"/>
      <c r="C101" s="49" t="s">
        <v>48</v>
      </c>
      <c r="D101" s="67">
        <v>0</v>
      </c>
      <c r="E101" s="67">
        <v>5000</v>
      </c>
      <c r="F101" s="73">
        <f>+G101/12</f>
        <v>0</v>
      </c>
      <c r="G101" s="73">
        <v>0</v>
      </c>
      <c r="H101" s="70">
        <f>+G101*E101*D101</f>
        <v>0</v>
      </c>
    </row>
    <row r="102" spans="1:8" x14ac:dyDescent="0.25">
      <c r="A102" s="38"/>
      <c r="B102" s="74" t="s">
        <v>49</v>
      </c>
      <c r="C102" s="74"/>
      <c r="D102" s="75">
        <f>+H82*H83</f>
        <v>143.00131578947367</v>
      </c>
      <c r="E102" s="76"/>
      <c r="F102" s="76"/>
      <c r="G102" s="76">
        <v>250</v>
      </c>
      <c r="H102" s="77">
        <f>+D102*G102*12</f>
        <v>429003.94736842095</v>
      </c>
    </row>
    <row r="103" spans="1:8" x14ac:dyDescent="0.25">
      <c r="A103" s="38"/>
      <c r="B103" s="49" t="s">
        <v>50</v>
      </c>
      <c r="C103" s="49"/>
      <c r="D103" s="66">
        <f>+H82</f>
        <v>190.66842105263157</v>
      </c>
      <c r="E103" s="67">
        <f>(E97*D97)+(E98*D98)</f>
        <v>154710</v>
      </c>
      <c r="F103" s="73"/>
      <c r="G103" s="68"/>
      <c r="H103" s="70">
        <f>SUM(H97:H102)</f>
        <v>6647829.9473684207</v>
      </c>
    </row>
    <row r="104" spans="1:8" x14ac:dyDescent="0.25">
      <c r="A104" s="38"/>
      <c r="B104" s="49" t="s">
        <v>51</v>
      </c>
      <c r="C104" s="49"/>
      <c r="D104" s="78">
        <v>0.85</v>
      </c>
      <c r="E104" s="67">
        <f>+H81</f>
        <v>181135</v>
      </c>
      <c r="F104" s="68"/>
      <c r="G104" s="68"/>
      <c r="H104" s="70"/>
    </row>
    <row r="105" spans="1:8" x14ac:dyDescent="0.25">
      <c r="A105" s="38"/>
      <c r="B105" s="49" t="s">
        <v>52</v>
      </c>
      <c r="C105" s="49"/>
      <c r="D105" s="78">
        <v>1</v>
      </c>
      <c r="E105" s="67">
        <f>(E100*D100)+(D101*E101)</f>
        <v>0</v>
      </c>
      <c r="F105" s="68"/>
      <c r="G105" s="68"/>
      <c r="H105" s="70"/>
    </row>
    <row r="106" spans="1:8" x14ac:dyDescent="0.25">
      <c r="A106" s="38"/>
      <c r="B106" s="49"/>
      <c r="C106" s="49"/>
      <c r="D106" s="67"/>
      <c r="E106" s="68"/>
      <c r="F106" s="68"/>
      <c r="G106" s="68"/>
      <c r="H106" s="70"/>
    </row>
    <row r="107" spans="1:8" ht="18.75" x14ac:dyDescent="0.3">
      <c r="A107" s="79" t="s">
        <v>53</v>
      </c>
      <c r="B107" s="49"/>
      <c r="C107" s="49" t="str">
        <f>+C97</f>
        <v>Market Rate</v>
      </c>
      <c r="D107" s="67"/>
      <c r="E107" s="68"/>
      <c r="F107" s="68"/>
      <c r="G107" s="80">
        <v>0.05</v>
      </c>
      <c r="H107" s="70">
        <f>-G107*H97</f>
        <v>-294467.40000000002</v>
      </c>
    </row>
    <row r="108" spans="1:8" ht="12.75" customHeight="1" x14ac:dyDescent="0.3">
      <c r="A108" s="79"/>
      <c r="B108" s="49"/>
      <c r="C108" s="49" t="str">
        <f>+C98</f>
        <v>Low Income</v>
      </c>
      <c r="D108" s="67"/>
      <c r="E108" s="68"/>
      <c r="F108" s="68"/>
      <c r="G108" s="80">
        <v>0</v>
      </c>
      <c r="H108" s="70">
        <f>-G108*H98</f>
        <v>0</v>
      </c>
    </row>
    <row r="109" spans="1:8" ht="12.75" customHeight="1" x14ac:dyDescent="0.3">
      <c r="A109" s="79"/>
      <c r="B109" s="49"/>
      <c r="C109" s="49" t="str">
        <f>+C100</f>
        <v>Market Rate Retail</v>
      </c>
      <c r="D109" s="67"/>
      <c r="E109" s="68"/>
      <c r="F109" s="68"/>
      <c r="G109" s="80">
        <v>0.1</v>
      </c>
      <c r="H109" s="70">
        <f>-G109*H100</f>
        <v>0</v>
      </c>
    </row>
    <row r="110" spans="1:8" x14ac:dyDescent="0.25">
      <c r="A110" s="38"/>
      <c r="B110" s="74"/>
      <c r="C110" s="74" t="str">
        <f>+C101</f>
        <v>Affordable Innovation</v>
      </c>
      <c r="D110" s="75"/>
      <c r="E110" s="76"/>
      <c r="F110" s="76"/>
      <c r="G110" s="81">
        <v>0.2</v>
      </c>
      <c r="H110" s="77">
        <f>-G110*H101</f>
        <v>0</v>
      </c>
    </row>
    <row r="111" spans="1:8" x14ac:dyDescent="0.25">
      <c r="A111" s="38"/>
      <c r="B111" s="49" t="s">
        <v>54</v>
      </c>
      <c r="C111" s="49"/>
      <c r="D111" s="67"/>
      <c r="E111" s="68"/>
      <c r="F111" s="68"/>
      <c r="G111" s="80"/>
      <c r="H111" s="70">
        <f>SUM(H107:H110)</f>
        <v>-294467.40000000002</v>
      </c>
    </row>
    <row r="112" spans="1:8" s="83" customFormat="1" ht="18.75" x14ac:dyDescent="0.3">
      <c r="A112" s="82"/>
      <c r="C112" s="45"/>
      <c r="D112" s="49"/>
      <c r="E112" s="49"/>
      <c r="F112" s="84"/>
      <c r="G112" s="85"/>
      <c r="H112" s="70"/>
    </row>
    <row r="113" spans="1:11" ht="18.75" x14ac:dyDescent="0.3">
      <c r="A113" s="79" t="s">
        <v>55</v>
      </c>
      <c r="B113" s="49"/>
      <c r="C113" s="49"/>
      <c r="D113" s="67"/>
      <c r="E113" s="68"/>
      <c r="F113" s="68"/>
      <c r="G113" s="68"/>
      <c r="H113" s="70">
        <f>+H103+H111</f>
        <v>6353362.5473684203</v>
      </c>
      <c r="I113" s="1"/>
      <c r="J113" s="1"/>
      <c r="K113" s="1"/>
    </row>
    <row r="114" spans="1:11" x14ac:dyDescent="0.25">
      <c r="A114" s="38"/>
      <c r="B114" s="49"/>
      <c r="C114" s="49"/>
      <c r="D114" s="67"/>
      <c r="E114" s="68"/>
      <c r="F114" s="68"/>
      <c r="G114" s="68"/>
      <c r="H114" s="70"/>
      <c r="I114" s="1"/>
      <c r="J114" s="1"/>
      <c r="K114" s="1"/>
    </row>
    <row r="115" spans="1:11" ht="18.75" x14ac:dyDescent="0.3">
      <c r="A115" s="79" t="s">
        <v>56</v>
      </c>
      <c r="B115" s="49"/>
      <c r="C115" s="49"/>
      <c r="D115" s="49"/>
      <c r="E115" s="49"/>
      <c r="F115" s="49"/>
      <c r="G115" s="49"/>
      <c r="H115" s="70"/>
      <c r="I115" s="1"/>
      <c r="J115" s="1" t="s">
        <v>99</v>
      </c>
      <c r="K115" s="1"/>
    </row>
    <row r="116" spans="1:11" x14ac:dyDescent="0.25">
      <c r="A116" s="38"/>
      <c r="B116" s="49" t="s">
        <v>57</v>
      </c>
      <c r="C116" s="49" t="s">
        <v>58</v>
      </c>
      <c r="D116" s="49"/>
      <c r="E116" s="49"/>
      <c r="F116" s="68">
        <v>7500</v>
      </c>
      <c r="G116" s="68" t="s">
        <v>59</v>
      </c>
      <c r="H116" s="70">
        <f>-F116*D103</f>
        <v>-1430013.1578947369</v>
      </c>
      <c r="I116" s="1"/>
      <c r="J116" s="1"/>
      <c r="K116" s="1"/>
    </row>
    <row r="117" spans="1:11" x14ac:dyDescent="0.25">
      <c r="A117" s="38"/>
      <c r="B117" s="49"/>
      <c r="C117" s="49" t="s">
        <v>60</v>
      </c>
      <c r="D117" s="78">
        <v>7.0000000000000007E-2</v>
      </c>
      <c r="E117" s="49" t="s">
        <v>61</v>
      </c>
      <c r="F117" s="68">
        <f>ROUND(-H117/D103,-2)</f>
        <v>2400</v>
      </c>
      <c r="G117" s="68" t="s">
        <v>59</v>
      </c>
      <c r="H117" s="70">
        <f>(H97+H98+H102)*-D117</f>
        <v>-465348.0963157895</v>
      </c>
      <c r="I117" s="1"/>
      <c r="J117" s="1"/>
      <c r="K117" s="1"/>
    </row>
    <row r="118" spans="1:11" x14ac:dyDescent="0.25">
      <c r="A118" s="38"/>
      <c r="B118" s="49"/>
      <c r="C118" s="49" t="s">
        <v>62</v>
      </c>
      <c r="D118" s="80">
        <v>2.5000000000000001E-2</v>
      </c>
      <c r="E118" s="49" t="s">
        <v>63</v>
      </c>
      <c r="F118" s="68">
        <f>-H118/D103</f>
        <v>828.06560403842434</v>
      </c>
      <c r="G118" s="68" t="s">
        <v>59</v>
      </c>
      <c r="H118" s="70">
        <f>-D118*((H97+H98+H102)*(1-G107))</f>
        <v>-157885.96124999999</v>
      </c>
      <c r="I118" s="1"/>
      <c r="J118" s="1"/>
      <c r="K118" s="1"/>
    </row>
    <row r="119" spans="1:11" x14ac:dyDescent="0.25">
      <c r="A119" s="38"/>
      <c r="B119" s="49"/>
      <c r="C119" s="49" t="s">
        <v>64</v>
      </c>
      <c r="D119" s="49"/>
      <c r="E119" s="49"/>
      <c r="F119" s="68">
        <v>250</v>
      </c>
      <c r="G119" s="68" t="s">
        <v>59</v>
      </c>
      <c r="H119" s="70">
        <f>-F119*D103</f>
        <v>-47667.105263157893</v>
      </c>
      <c r="I119" s="1"/>
      <c r="J119" s="1"/>
      <c r="K119" s="1"/>
    </row>
    <row r="120" spans="1:11" x14ac:dyDescent="0.25">
      <c r="A120" s="38"/>
      <c r="B120" s="74" t="s">
        <v>46</v>
      </c>
      <c r="C120" s="86" t="s">
        <v>65</v>
      </c>
      <c r="D120" s="74"/>
      <c r="E120" s="74"/>
      <c r="F120" s="87">
        <v>0.02</v>
      </c>
      <c r="G120" s="74" t="s">
        <v>66</v>
      </c>
      <c r="H120" s="77">
        <f>-F120*(H100+H101)</f>
        <v>0</v>
      </c>
      <c r="I120" s="1"/>
      <c r="J120" s="1"/>
      <c r="K120" s="1"/>
    </row>
    <row r="121" spans="1:11" x14ac:dyDescent="0.25">
      <c r="A121" s="38"/>
      <c r="B121" s="49" t="s">
        <v>67</v>
      </c>
      <c r="C121" s="49"/>
      <c r="D121" s="78">
        <f>-H121/H113</f>
        <v>0.33067754359364998</v>
      </c>
      <c r="E121" s="68" t="s">
        <v>68</v>
      </c>
      <c r="F121" s="68">
        <f>-H121/D103</f>
        <v>11018.680015941149</v>
      </c>
      <c r="G121" s="68" t="s">
        <v>59</v>
      </c>
      <c r="H121" s="70">
        <f>SUM(H116:H120)</f>
        <v>-2100914.320723684</v>
      </c>
      <c r="I121" s="1"/>
      <c r="J121" s="1"/>
      <c r="K121" s="1"/>
    </row>
    <row r="122" spans="1:11" ht="15.75" thickBot="1" x14ac:dyDescent="0.3">
      <c r="A122" s="38"/>
      <c r="B122" s="49"/>
      <c r="C122" s="49"/>
      <c r="D122" s="49"/>
      <c r="E122" s="32"/>
      <c r="F122" s="49"/>
      <c r="G122" s="49"/>
      <c r="H122" s="70"/>
      <c r="I122" s="1"/>
      <c r="J122" s="1"/>
      <c r="K122" s="1"/>
    </row>
    <row r="123" spans="1:11" ht="18.75" x14ac:dyDescent="0.3">
      <c r="A123" s="79" t="s">
        <v>69</v>
      </c>
      <c r="B123" s="49"/>
      <c r="C123" s="49"/>
      <c r="D123" s="78">
        <f>+H123/H113</f>
        <v>0.66932245640634991</v>
      </c>
      <c r="E123" s="68" t="s">
        <v>68</v>
      </c>
      <c r="F123" s="68">
        <f>+H123/D103</f>
        <v>22302.844924020752</v>
      </c>
      <c r="G123" s="68" t="s">
        <v>59</v>
      </c>
      <c r="H123" s="70">
        <f>+H113+H121</f>
        <v>4252448.2266447358</v>
      </c>
      <c r="I123" s="1"/>
      <c r="J123" s="88">
        <f>+H123/1.25</f>
        <v>3401958.5813157884</v>
      </c>
      <c r="K123" s="89" t="s">
        <v>70</v>
      </c>
    </row>
    <row r="124" spans="1:11" x14ac:dyDescent="0.25">
      <c r="A124" s="38"/>
      <c r="B124" s="49"/>
      <c r="C124" s="49"/>
      <c r="D124" s="49"/>
      <c r="E124" s="49"/>
      <c r="F124" s="49"/>
      <c r="G124" s="49"/>
      <c r="H124" s="70"/>
      <c r="I124" s="1"/>
      <c r="J124" s="90">
        <f>-J123/(PMT(0.04/12,30*12,1)*12)</f>
        <v>59381538.701349191</v>
      </c>
      <c r="K124" s="91" t="s">
        <v>71</v>
      </c>
    </row>
    <row r="125" spans="1:11" ht="18.75" x14ac:dyDescent="0.3">
      <c r="A125" s="79" t="s">
        <v>72</v>
      </c>
      <c r="B125" s="49"/>
      <c r="C125" s="49"/>
      <c r="D125" s="49"/>
      <c r="E125" s="49"/>
      <c r="F125" s="49"/>
      <c r="G125" s="49"/>
      <c r="H125" s="70"/>
      <c r="I125" s="1"/>
      <c r="J125" s="92">
        <f>+H139-J124</f>
        <v>8118461.2986508086</v>
      </c>
      <c r="K125" s="91" t="s">
        <v>73</v>
      </c>
    </row>
    <row r="126" spans="1:11" x14ac:dyDescent="0.25">
      <c r="A126" s="38"/>
      <c r="B126" s="49" t="s">
        <v>74</v>
      </c>
      <c r="C126" s="49"/>
      <c r="D126" s="49"/>
      <c r="E126" s="93" t="s">
        <v>75</v>
      </c>
      <c r="F126" s="94">
        <v>0.05</v>
      </c>
      <c r="G126" s="49" t="s">
        <v>76</v>
      </c>
      <c r="H126" s="70">
        <f>+H123/F126</f>
        <v>85048964.532894716</v>
      </c>
      <c r="I126" s="1"/>
      <c r="J126" s="92">
        <f>+H123-J123</f>
        <v>850489.64532894734</v>
      </c>
      <c r="K126" s="91" t="s">
        <v>77</v>
      </c>
    </row>
    <row r="127" spans="1:11" ht="15.75" thickBot="1" x14ac:dyDescent="0.3">
      <c r="A127" s="38"/>
      <c r="B127" s="49"/>
      <c r="C127" s="49"/>
      <c r="D127" s="49"/>
      <c r="E127" s="49"/>
      <c r="F127" s="49"/>
      <c r="G127" s="93" t="s">
        <v>78</v>
      </c>
      <c r="H127" s="70">
        <f>ROUND(H126,-5)</f>
        <v>85000000</v>
      </c>
      <c r="I127" s="1"/>
      <c r="J127" s="95">
        <f>+J126/J125</f>
        <v>0.10475995561748734</v>
      </c>
      <c r="K127" s="96" t="s">
        <v>79</v>
      </c>
    </row>
    <row r="128" spans="1:11" x14ac:dyDescent="0.25">
      <c r="A128" s="38"/>
      <c r="B128" s="49"/>
      <c r="C128" s="49"/>
      <c r="D128" s="49"/>
      <c r="E128" s="49"/>
      <c r="F128" s="49"/>
      <c r="G128" s="93" t="s">
        <v>80</v>
      </c>
      <c r="H128" s="70">
        <f>+H127/E104</f>
        <v>469.26325668700139</v>
      </c>
      <c r="I128" s="1"/>
      <c r="J128" s="1"/>
      <c r="K128" s="1"/>
    </row>
    <row r="129" spans="1:11" x14ac:dyDescent="0.25">
      <c r="A129" s="38"/>
      <c r="B129" s="49"/>
      <c r="C129" s="49"/>
      <c r="D129" s="49"/>
      <c r="E129" s="49"/>
      <c r="F129" s="49"/>
      <c r="G129" s="93" t="s">
        <v>59</v>
      </c>
      <c r="H129" s="70">
        <f>+H127/D103</f>
        <v>445800.09385265136</v>
      </c>
      <c r="I129" s="1"/>
      <c r="J129" s="1">
        <v>646091.59779614327</v>
      </c>
      <c r="K129" s="2">
        <f>+J129-H129</f>
        <v>200291.5039434919</v>
      </c>
    </row>
    <row r="130" spans="1:11" x14ac:dyDescent="0.25">
      <c r="A130" s="97"/>
      <c r="B130" s="74"/>
      <c r="C130" s="74"/>
      <c r="D130" s="74"/>
      <c r="E130" s="74"/>
      <c r="F130" s="74"/>
      <c r="G130" s="98"/>
      <c r="H130" s="77"/>
      <c r="I130" s="1"/>
      <c r="J130" s="1"/>
      <c r="K130" s="1"/>
    </row>
    <row r="131" spans="1:11" x14ac:dyDescent="0.25">
      <c r="A131" s="38"/>
      <c r="B131" s="49"/>
      <c r="C131" s="49"/>
      <c r="D131" s="49"/>
      <c r="E131" s="49"/>
      <c r="F131" s="94"/>
      <c r="G131" s="49"/>
      <c r="H131" s="70"/>
      <c r="I131" s="1"/>
      <c r="J131" s="1"/>
      <c r="K131" s="1"/>
    </row>
    <row r="132" spans="1:11" ht="19.5" thickBot="1" x14ac:dyDescent="0.35">
      <c r="A132" s="79" t="s">
        <v>81</v>
      </c>
      <c r="B132" s="49"/>
      <c r="C132" s="49"/>
      <c r="D132" s="49"/>
      <c r="E132" s="49"/>
      <c r="F132" s="49"/>
      <c r="G132" s="49"/>
      <c r="H132" s="70"/>
      <c r="I132" s="1"/>
      <c r="J132" s="1"/>
      <c r="K132" s="1"/>
    </row>
    <row r="133" spans="1:11" ht="19.5" thickBot="1" x14ac:dyDescent="0.35">
      <c r="A133" s="79"/>
      <c r="B133" s="49" t="s">
        <v>82</v>
      </c>
      <c r="C133" s="49"/>
      <c r="D133" s="68">
        <f>+H133/D103</f>
        <v>34236.660501835649</v>
      </c>
      <c r="E133" s="49" t="s">
        <v>59</v>
      </c>
      <c r="F133" s="73">
        <v>70</v>
      </c>
      <c r="G133" s="49" t="s">
        <v>83</v>
      </c>
      <c r="H133" s="99">
        <f>F133*H79</f>
        <v>6527850</v>
      </c>
      <c r="I133" s="1"/>
      <c r="J133" s="1"/>
      <c r="K133" s="1"/>
    </row>
    <row r="134" spans="1:11" ht="12.75" customHeight="1" x14ac:dyDescent="0.3">
      <c r="A134" s="79"/>
      <c r="B134" s="49" t="s">
        <v>84</v>
      </c>
      <c r="C134" s="49"/>
      <c r="D134" s="68">
        <v>300000</v>
      </c>
      <c r="E134" s="49" t="s">
        <v>59</v>
      </c>
      <c r="F134" s="67">
        <f>H89</f>
        <v>0</v>
      </c>
      <c r="G134" s="49" t="s">
        <v>35</v>
      </c>
      <c r="H134" s="70">
        <f>+F134*D134</f>
        <v>0</v>
      </c>
      <c r="I134" s="1"/>
      <c r="J134" s="1"/>
      <c r="K134" s="1"/>
    </row>
    <row r="135" spans="1:11" x14ac:dyDescent="0.25">
      <c r="A135" s="38"/>
      <c r="B135" s="49" t="s">
        <v>57</v>
      </c>
      <c r="C135" s="49"/>
      <c r="D135" s="49"/>
      <c r="E135" s="49"/>
      <c r="F135" s="73">
        <f>280*0.92</f>
        <v>257.60000000000002</v>
      </c>
      <c r="G135" s="49" t="s">
        <v>85</v>
      </c>
      <c r="H135" s="70">
        <f>+F135*E104</f>
        <v>46660376.000000007</v>
      </c>
      <c r="I135" s="1"/>
      <c r="J135" s="1"/>
      <c r="K135" s="1"/>
    </row>
    <row r="136" spans="1:11" x14ac:dyDescent="0.25">
      <c r="A136" s="38"/>
      <c r="B136" s="49" t="s">
        <v>46</v>
      </c>
      <c r="C136" s="49"/>
      <c r="D136" s="49"/>
      <c r="E136" s="49"/>
      <c r="F136" s="73">
        <v>280</v>
      </c>
      <c r="G136" s="49" t="s">
        <v>85</v>
      </c>
      <c r="H136" s="70">
        <f>F136*(E105)</f>
        <v>0</v>
      </c>
      <c r="I136" s="1"/>
      <c r="J136" s="1"/>
      <c r="K136" s="1"/>
    </row>
    <row r="137" spans="1:11" x14ac:dyDescent="0.25">
      <c r="A137" s="38"/>
      <c r="B137" s="49" t="s">
        <v>86</v>
      </c>
      <c r="C137" s="49" t="s">
        <v>87</v>
      </c>
      <c r="D137" s="67">
        <f>+D102</f>
        <v>143.00131578947367</v>
      </c>
      <c r="E137" s="32" t="s">
        <v>88</v>
      </c>
      <c r="F137" s="68">
        <v>35000</v>
      </c>
      <c r="G137" s="49" t="s">
        <v>89</v>
      </c>
      <c r="H137" s="70">
        <f>+F137*D102</f>
        <v>5005046.0526315784</v>
      </c>
      <c r="I137" s="1"/>
      <c r="J137" s="1"/>
      <c r="K137" s="1"/>
    </row>
    <row r="138" spans="1:11" x14ac:dyDescent="0.25">
      <c r="A138" s="38"/>
      <c r="B138" s="74" t="s">
        <v>90</v>
      </c>
      <c r="C138" s="74"/>
      <c r="D138" s="74"/>
      <c r="E138" s="74"/>
      <c r="F138" s="87">
        <v>0.2</v>
      </c>
      <c r="G138" s="74" t="s">
        <v>91</v>
      </c>
      <c r="H138" s="77">
        <f>ROUND((H135+H136)*F138,-5)</f>
        <v>9300000</v>
      </c>
      <c r="I138" s="1"/>
      <c r="J138" s="1"/>
      <c r="K138" s="1"/>
    </row>
    <row r="139" spans="1:11" x14ac:dyDescent="0.25">
      <c r="A139" s="38"/>
      <c r="B139" s="49"/>
      <c r="C139" s="49"/>
      <c r="D139" s="49"/>
      <c r="E139" s="49"/>
      <c r="F139" s="49"/>
      <c r="G139" s="93" t="s">
        <v>78</v>
      </c>
      <c r="H139" s="70">
        <f>ROUND(SUM(H133:H138),-5)</f>
        <v>67500000</v>
      </c>
      <c r="I139" s="1"/>
      <c r="J139" s="1"/>
      <c r="K139" s="1"/>
    </row>
    <row r="140" spans="1:11" x14ac:dyDescent="0.25">
      <c r="A140" s="38"/>
      <c r="B140" s="49"/>
      <c r="C140" s="49"/>
      <c r="D140" s="49"/>
      <c r="E140" s="49"/>
      <c r="F140" s="49"/>
      <c r="G140" s="93" t="s">
        <v>80</v>
      </c>
      <c r="H140" s="70">
        <f>+H139/(E104+E105)</f>
        <v>372.65023325144227</v>
      </c>
      <c r="I140" s="1"/>
      <c r="J140" s="1"/>
      <c r="K140" s="1"/>
    </row>
    <row r="141" spans="1:11" x14ac:dyDescent="0.25">
      <c r="A141" s="38"/>
      <c r="B141" s="49"/>
      <c r="C141" s="49"/>
      <c r="D141" s="49"/>
      <c r="E141" s="49"/>
      <c r="F141" s="49"/>
      <c r="G141" s="93" t="s">
        <v>59</v>
      </c>
      <c r="H141" s="70">
        <f>+H139/H82</f>
        <v>354017.72158887022</v>
      </c>
      <c r="I141" s="1"/>
      <c r="J141" s="1">
        <v>486340.6795224977</v>
      </c>
      <c r="K141" s="1"/>
    </row>
    <row r="142" spans="1:11" x14ac:dyDescent="0.25">
      <c r="A142" s="38"/>
      <c r="B142" s="49"/>
      <c r="C142" s="49"/>
      <c r="D142" s="49"/>
      <c r="E142" s="49"/>
      <c r="F142" s="49"/>
      <c r="G142" s="49"/>
      <c r="H142" s="70"/>
      <c r="I142" s="1"/>
      <c r="J142" s="1"/>
      <c r="K142" s="1"/>
    </row>
    <row r="143" spans="1:11" ht="18.75" x14ac:dyDescent="0.3">
      <c r="A143" s="100" t="s">
        <v>92</v>
      </c>
      <c r="B143" s="49"/>
      <c r="C143" s="49"/>
      <c r="D143" s="49"/>
      <c r="E143" s="93" t="s">
        <v>93</v>
      </c>
      <c r="F143" s="80">
        <f>+H123/H139</f>
        <v>6.2999232987329415E-2</v>
      </c>
      <c r="G143" s="93" t="s">
        <v>94</v>
      </c>
      <c r="H143" s="70">
        <f>+H127-H139</f>
        <v>17500000</v>
      </c>
      <c r="I143" s="1"/>
      <c r="J143" s="1"/>
      <c r="K143" s="1"/>
    </row>
    <row r="144" spans="1:11" ht="15.75" thickBot="1" x14ac:dyDescent="0.3">
      <c r="A144" s="101"/>
      <c r="B144" s="102"/>
      <c r="C144" s="102"/>
      <c r="D144" s="103"/>
      <c r="E144" s="103"/>
      <c r="F144" s="103"/>
      <c r="G144" s="102"/>
      <c r="H144" s="104"/>
      <c r="I144" s="1"/>
      <c r="J144" s="1"/>
      <c r="K144" s="1"/>
    </row>
    <row r="145" spans="1:11" ht="15.75" thickBot="1" x14ac:dyDescent="0.3">
      <c r="A145" s="38"/>
      <c r="B145" s="32"/>
      <c r="C145" s="32"/>
      <c r="D145" s="32"/>
      <c r="E145" s="32"/>
      <c r="F145" s="32"/>
      <c r="G145" s="32"/>
      <c r="H145" s="32"/>
      <c r="I145" s="1"/>
      <c r="J145" s="1"/>
    </row>
    <row r="146" spans="1:11" ht="18.75" x14ac:dyDescent="0.3">
      <c r="A146" s="3" t="s">
        <v>7</v>
      </c>
      <c r="B146" s="4"/>
      <c r="C146" s="5" t="s">
        <v>8</v>
      </c>
      <c r="D146" s="6" t="s">
        <v>9</v>
      </c>
      <c r="E146" s="7"/>
      <c r="F146" s="7"/>
      <c r="G146" s="8" t="s">
        <v>10</v>
      </c>
      <c r="H146" s="25" t="s">
        <v>11</v>
      </c>
      <c r="I146" s="1"/>
      <c r="J146" s="1"/>
    </row>
    <row r="147" spans="1:11" ht="18.75" x14ac:dyDescent="0.3">
      <c r="A147" s="26" t="s">
        <v>12</v>
      </c>
      <c r="B147" s="27"/>
      <c r="C147" s="11"/>
      <c r="D147" s="28" t="s">
        <v>1</v>
      </c>
      <c r="E147" s="12" t="s">
        <v>13</v>
      </c>
      <c r="F147" s="29">
        <v>1</v>
      </c>
      <c r="G147" s="30" t="s">
        <v>14</v>
      </c>
      <c r="H147" s="31">
        <v>113559</v>
      </c>
      <c r="I147" s="1"/>
      <c r="J147" s="1"/>
    </row>
    <row r="148" spans="1:11" ht="18.75" x14ac:dyDescent="0.3">
      <c r="A148" s="26" t="s">
        <v>100</v>
      </c>
      <c r="B148" s="27"/>
      <c r="C148" s="32"/>
      <c r="D148" s="11" t="s">
        <v>16</v>
      </c>
      <c r="E148" s="12"/>
      <c r="F148" s="33"/>
      <c r="G148" s="14" t="s">
        <v>4</v>
      </c>
      <c r="H148" s="15">
        <f>H149/H147</f>
        <v>2.9484232865734992</v>
      </c>
      <c r="I148" s="148" t="s">
        <v>138</v>
      </c>
      <c r="J148" s="146"/>
      <c r="K148" s="144" t="s">
        <v>139</v>
      </c>
    </row>
    <row r="149" spans="1:11" ht="19.5" thickBot="1" x14ac:dyDescent="0.35">
      <c r="A149" s="34" t="s">
        <v>17</v>
      </c>
      <c r="B149" s="35"/>
      <c r="C149" s="36"/>
      <c r="D149" s="11" t="s">
        <v>18</v>
      </c>
      <c r="E149" s="17"/>
      <c r="F149" s="17"/>
      <c r="G149" s="37" t="s">
        <v>19</v>
      </c>
      <c r="H149" s="31">
        <v>334820</v>
      </c>
      <c r="I149" s="145">
        <f>H147*2</f>
        <v>227118</v>
      </c>
      <c r="J149" s="146" t="s">
        <v>137</v>
      </c>
      <c r="K149" s="144">
        <f>I149/G150</f>
        <v>239.07157894736841</v>
      </c>
    </row>
    <row r="150" spans="1:11" ht="18.75" x14ac:dyDescent="0.3">
      <c r="A150" s="38"/>
      <c r="B150" s="32"/>
      <c r="C150" s="36"/>
      <c r="D150" s="11" t="s">
        <v>5</v>
      </c>
      <c r="E150" s="17"/>
      <c r="F150" s="17"/>
      <c r="G150" s="18">
        <f>G82</f>
        <v>950</v>
      </c>
      <c r="H150" s="39">
        <f>H149/G150</f>
        <v>352.44210526315788</v>
      </c>
      <c r="I150" s="145">
        <f>H149-I149</f>
        <v>107702</v>
      </c>
      <c r="J150" s="147" t="s">
        <v>140</v>
      </c>
      <c r="K150" s="144">
        <f>I150/G150</f>
        <v>113.37052631578948</v>
      </c>
    </row>
    <row r="151" spans="1:11" ht="18.75" x14ac:dyDescent="0.3">
      <c r="A151" s="38"/>
      <c r="B151" s="32"/>
      <c r="C151" s="1"/>
      <c r="D151" s="11" t="s">
        <v>20</v>
      </c>
      <c r="E151" s="17"/>
      <c r="F151" s="17"/>
      <c r="G151" s="41"/>
      <c r="H151" s="42">
        <v>0.75</v>
      </c>
      <c r="I151" s="143"/>
      <c r="J151" s="143"/>
      <c r="K151" s="144">
        <f>SUM(K149:K150)</f>
        <v>352.44210526315788</v>
      </c>
    </row>
    <row r="152" spans="1:11" ht="18.75" x14ac:dyDescent="0.3">
      <c r="A152" s="38"/>
      <c r="B152" s="32"/>
      <c r="C152" s="21" t="s">
        <v>21</v>
      </c>
      <c r="D152" s="21" t="s">
        <v>101</v>
      </c>
      <c r="E152" s="22"/>
      <c r="F152" s="22"/>
      <c r="G152" s="21"/>
      <c r="H152" s="141">
        <f>K149*0.13</f>
        <v>31.079305263157895</v>
      </c>
      <c r="I152" s="44"/>
      <c r="J152" s="1"/>
    </row>
    <row r="153" spans="1:11" ht="18.75" x14ac:dyDescent="0.3">
      <c r="A153" s="38"/>
      <c r="B153" s="32"/>
      <c r="C153" s="45"/>
      <c r="D153" s="21" t="s">
        <v>102</v>
      </c>
      <c r="E153" s="22"/>
      <c r="F153" s="22"/>
      <c r="G153" s="21"/>
      <c r="H153" s="141">
        <v>33</v>
      </c>
      <c r="I153" s="1"/>
      <c r="J153" s="44">
        <f>K149*0.13+K150*0.29</f>
        <v>63.956757894736839</v>
      </c>
    </row>
    <row r="154" spans="1:11" ht="18.75" x14ac:dyDescent="0.3">
      <c r="A154" s="38"/>
      <c r="B154" s="32"/>
      <c r="C154" s="45"/>
      <c r="D154" s="21" t="s">
        <v>23</v>
      </c>
      <c r="E154" s="22"/>
      <c r="F154" s="22"/>
      <c r="G154" s="21"/>
      <c r="H154" s="141">
        <f>SUM(H152:H153)</f>
        <v>64.079305263157892</v>
      </c>
      <c r="I154" s="1"/>
      <c r="J154" s="1"/>
    </row>
    <row r="155" spans="1:11" ht="18.75" x14ac:dyDescent="0.3">
      <c r="A155" s="38"/>
      <c r="B155" s="32"/>
      <c r="C155" s="1"/>
      <c r="D155" s="21" t="s">
        <v>24</v>
      </c>
      <c r="E155" s="22"/>
      <c r="F155" s="22"/>
      <c r="G155" s="21"/>
      <c r="H155" s="142">
        <f>(H154+H157)/H150</f>
        <v>0.18181512454453139</v>
      </c>
      <c r="I155" s="1"/>
      <c r="J155" s="1"/>
    </row>
    <row r="156" spans="1:11" ht="18.75" x14ac:dyDescent="0.3">
      <c r="A156" s="38"/>
      <c r="B156" s="32"/>
      <c r="C156" s="45"/>
      <c r="D156" s="21" t="s">
        <v>17</v>
      </c>
      <c r="E156" s="22"/>
      <c r="F156" s="22"/>
      <c r="G156" s="21"/>
      <c r="H156" s="47"/>
      <c r="I156" s="1"/>
      <c r="J156" s="1"/>
    </row>
    <row r="157" spans="1:11" ht="18.75" x14ac:dyDescent="0.3">
      <c r="A157" s="38"/>
      <c r="B157" s="32"/>
      <c r="C157" s="36"/>
      <c r="D157" s="21" t="s">
        <v>98</v>
      </c>
      <c r="E157" s="22"/>
      <c r="F157" s="22"/>
      <c r="G157" s="21"/>
      <c r="H157" s="23">
        <v>0</v>
      </c>
      <c r="I157" s="110">
        <f>J153-H154</f>
        <v>-0.12254736842105274</v>
      </c>
      <c r="J157" s="1"/>
    </row>
    <row r="158" spans="1:11" ht="18.75" x14ac:dyDescent="0.3">
      <c r="A158" s="38"/>
      <c r="B158" s="32"/>
      <c r="C158" s="36"/>
      <c r="D158" s="21" t="s">
        <v>27</v>
      </c>
      <c r="E158" s="22"/>
      <c r="F158" s="22"/>
      <c r="G158" s="21"/>
      <c r="H158" s="48">
        <v>300000</v>
      </c>
      <c r="I158" s="1"/>
      <c r="J158" s="1"/>
    </row>
    <row r="159" spans="1:11" ht="19.5" thickBot="1" x14ac:dyDescent="0.35">
      <c r="A159" s="38"/>
      <c r="B159" s="32"/>
      <c r="C159" s="49"/>
      <c r="D159" s="45"/>
      <c r="E159" s="45"/>
      <c r="F159" s="49"/>
      <c r="G159" s="45"/>
      <c r="H159" s="50"/>
      <c r="I159" s="1"/>
      <c r="J159" s="1"/>
    </row>
    <row r="160" spans="1:11" ht="19.5" thickBot="1" x14ac:dyDescent="0.35">
      <c r="A160" s="38"/>
      <c r="B160" s="32"/>
      <c r="C160" s="51" t="s">
        <v>28</v>
      </c>
      <c r="D160" s="51" t="s">
        <v>29</v>
      </c>
      <c r="E160" s="52"/>
      <c r="F160" s="53">
        <v>6.0999999999999999E-2</v>
      </c>
      <c r="G160" s="54" t="s">
        <v>30</v>
      </c>
      <c r="H160" s="55">
        <f>+F211</f>
        <v>6.1459270937837915E-2</v>
      </c>
      <c r="I160" s="1"/>
      <c r="J160" s="1"/>
    </row>
    <row r="161" spans="1:8" ht="18.75" x14ac:dyDescent="0.3">
      <c r="A161" s="38"/>
      <c r="B161" s="32"/>
      <c r="C161" s="36"/>
      <c r="D161" s="51" t="s">
        <v>31</v>
      </c>
      <c r="E161" s="52"/>
      <c r="F161" s="56">
        <f>F93</f>
        <v>3.65</v>
      </c>
      <c r="G161" s="51" t="s">
        <v>32</v>
      </c>
      <c r="H161" s="57"/>
    </row>
    <row r="162" spans="1:8" ht="19.5" thickBot="1" x14ac:dyDescent="0.35">
      <c r="A162" s="38"/>
      <c r="B162" s="32"/>
      <c r="C162" s="32"/>
      <c r="D162" s="36"/>
      <c r="E162" s="45"/>
      <c r="F162" s="49"/>
      <c r="G162" s="45"/>
      <c r="H162" s="58"/>
    </row>
    <row r="163" spans="1:8" ht="18.75" x14ac:dyDescent="0.3">
      <c r="A163" s="59" t="s">
        <v>33</v>
      </c>
      <c r="B163" s="60"/>
      <c r="C163" s="60"/>
      <c r="D163" s="60"/>
      <c r="E163" s="60"/>
      <c r="F163" s="60"/>
      <c r="G163" s="60"/>
      <c r="H163" s="61"/>
    </row>
    <row r="164" spans="1:8" ht="30" x14ac:dyDescent="0.25">
      <c r="A164" s="62" t="s">
        <v>34</v>
      </c>
      <c r="B164" s="63"/>
      <c r="C164" s="63"/>
      <c r="D164" s="64" t="s">
        <v>35</v>
      </c>
      <c r="E164" s="64" t="s">
        <v>36</v>
      </c>
      <c r="F164" s="64" t="s">
        <v>37</v>
      </c>
      <c r="G164" s="64" t="s">
        <v>38</v>
      </c>
      <c r="H164" s="65" t="s">
        <v>39</v>
      </c>
    </row>
    <row r="165" spans="1:8" x14ac:dyDescent="0.25">
      <c r="A165" s="38"/>
      <c r="B165" s="49" t="s">
        <v>40</v>
      </c>
      <c r="C165" s="49" t="s">
        <v>41</v>
      </c>
      <c r="D165" s="66">
        <f>ROUND(H150-D166-D167,0)</f>
        <v>288</v>
      </c>
      <c r="E165" s="67">
        <v>810</v>
      </c>
      <c r="F165" s="68">
        <f>+G165*E165</f>
        <v>2956.5</v>
      </c>
      <c r="G165" s="69">
        <f>F161</f>
        <v>3.65</v>
      </c>
      <c r="H165" s="70">
        <f>+D165*F165*12</f>
        <v>10217664</v>
      </c>
    </row>
    <row r="166" spans="1:8" x14ac:dyDescent="0.25">
      <c r="A166" s="38"/>
      <c r="B166" s="71" t="s">
        <v>42</v>
      </c>
      <c r="C166" s="49" t="s">
        <v>43</v>
      </c>
      <c r="D166" s="66">
        <f>H152</f>
        <v>31.079305263157895</v>
      </c>
      <c r="E166" s="67">
        <v>810</v>
      </c>
      <c r="F166" s="68">
        <v>1098.26</v>
      </c>
      <c r="G166" s="72">
        <f>IF(H166=0,0,+H166/(E166*D166)/12)</f>
        <v>1.3558765432098765</v>
      </c>
      <c r="H166" s="70">
        <f>+F166*D166*12</f>
        <v>409597.8935797895</v>
      </c>
    </row>
    <row r="167" spans="1:8" x14ac:dyDescent="0.25">
      <c r="A167" s="38"/>
      <c r="B167" s="71" t="s">
        <v>44</v>
      </c>
      <c r="C167" s="49" t="s">
        <v>45</v>
      </c>
      <c r="D167" s="66">
        <f>H153</f>
        <v>33</v>
      </c>
      <c r="E167" s="67">
        <v>810</v>
      </c>
      <c r="F167" s="68">
        <v>784.93925925925919</v>
      </c>
      <c r="G167" s="73">
        <f>IF(H167=0,0,+H167/(E167*D167)/12)</f>
        <v>0.96906081390031995</v>
      </c>
      <c r="H167" s="70">
        <f>+F167*D167*12</f>
        <v>310835.94666666666</v>
      </c>
    </row>
    <row r="168" spans="1:8" x14ac:dyDescent="0.25">
      <c r="A168" s="38"/>
      <c r="B168" s="49" t="s">
        <v>46</v>
      </c>
      <c r="C168" s="49" t="s">
        <v>47</v>
      </c>
      <c r="D168" s="67">
        <v>0</v>
      </c>
      <c r="E168" s="67">
        <v>0</v>
      </c>
      <c r="F168" s="73">
        <v>0</v>
      </c>
      <c r="G168" s="73">
        <v>0</v>
      </c>
      <c r="H168" s="70">
        <f>+G168*E168*D168</f>
        <v>0</v>
      </c>
    </row>
    <row r="169" spans="1:8" x14ac:dyDescent="0.25">
      <c r="A169" s="38"/>
      <c r="B169" s="49"/>
      <c r="C169" s="49" t="s">
        <v>48</v>
      </c>
      <c r="D169" s="67">
        <v>0</v>
      </c>
      <c r="E169" s="67">
        <v>5000</v>
      </c>
      <c r="F169" s="73">
        <f>+G169/12</f>
        <v>0</v>
      </c>
      <c r="G169" s="73">
        <v>0</v>
      </c>
      <c r="H169" s="70">
        <f>+G169*E169*D169</f>
        <v>0</v>
      </c>
    </row>
    <row r="170" spans="1:8" x14ac:dyDescent="0.25">
      <c r="A170" s="38"/>
      <c r="B170" s="74" t="s">
        <v>49</v>
      </c>
      <c r="C170" s="74"/>
      <c r="D170" s="75">
        <f>+H150*H151</f>
        <v>264.33157894736843</v>
      </c>
      <c r="E170" s="76"/>
      <c r="F170" s="76"/>
      <c r="G170" s="76">
        <v>250</v>
      </c>
      <c r="H170" s="77">
        <f>+D170*G170*12</f>
        <v>792994.73684210528</v>
      </c>
    </row>
    <row r="171" spans="1:8" x14ac:dyDescent="0.25">
      <c r="A171" s="38"/>
      <c r="B171" s="49" t="s">
        <v>50</v>
      </c>
      <c r="C171" s="49"/>
      <c r="D171" s="66">
        <f>+H150</f>
        <v>352.44210526315788</v>
      </c>
      <c r="E171" s="67">
        <f>(E165*D165)+(E166*D166)</f>
        <v>258454.23726315791</v>
      </c>
      <c r="F171" s="73"/>
      <c r="G171" s="68"/>
      <c r="H171" s="70">
        <f>SUM(H165:H170)</f>
        <v>11731092.577088563</v>
      </c>
    </row>
    <row r="172" spans="1:8" x14ac:dyDescent="0.25">
      <c r="A172" s="38"/>
      <c r="B172" s="49" t="s">
        <v>51</v>
      </c>
      <c r="C172" s="49"/>
      <c r="D172" s="78">
        <v>0.85</v>
      </c>
      <c r="E172" s="67">
        <f>+H149</f>
        <v>334820</v>
      </c>
      <c r="F172" s="68"/>
      <c r="G172" s="68"/>
      <c r="H172" s="70"/>
    </row>
    <row r="173" spans="1:8" x14ac:dyDescent="0.25">
      <c r="A173" s="38"/>
      <c r="B173" s="49" t="s">
        <v>52</v>
      </c>
      <c r="C173" s="49"/>
      <c r="D173" s="78">
        <v>1</v>
      </c>
      <c r="E173" s="67">
        <f>(E168*D168)+(D169*E169)</f>
        <v>0</v>
      </c>
      <c r="F173" s="68"/>
      <c r="G173" s="68"/>
      <c r="H173" s="70"/>
    </row>
    <row r="174" spans="1:8" x14ac:dyDescent="0.25">
      <c r="A174" s="38"/>
      <c r="B174" s="49"/>
      <c r="C174" s="49"/>
      <c r="D174" s="67"/>
      <c r="E174" s="68"/>
      <c r="F174" s="68"/>
      <c r="G174" s="68"/>
      <c r="H174" s="70"/>
    </row>
    <row r="175" spans="1:8" ht="18.75" x14ac:dyDescent="0.3">
      <c r="A175" s="79" t="s">
        <v>53</v>
      </c>
      <c r="B175" s="49"/>
      <c r="C175" s="49" t="str">
        <f>+C165</f>
        <v>Market Rate</v>
      </c>
      <c r="D175" s="67"/>
      <c r="E175" s="68"/>
      <c r="F175" s="68"/>
      <c r="G175" s="80">
        <v>0.05</v>
      </c>
      <c r="H175" s="70">
        <f>-G175*H165</f>
        <v>-510883.2</v>
      </c>
    </row>
    <row r="176" spans="1:8" ht="12.75" customHeight="1" x14ac:dyDescent="0.3">
      <c r="A176" s="79"/>
      <c r="B176" s="49"/>
      <c r="C176" s="49" t="str">
        <f>+C166</f>
        <v>Low Income</v>
      </c>
      <c r="D176" s="67"/>
      <c r="E176" s="68"/>
      <c r="F176" s="68"/>
      <c r="G176" s="80">
        <v>0</v>
      </c>
      <c r="H176" s="70">
        <f>-G176*H166</f>
        <v>0</v>
      </c>
    </row>
    <row r="177" spans="1:11" ht="12.75" customHeight="1" x14ac:dyDescent="0.3">
      <c r="A177" s="79"/>
      <c r="B177" s="49"/>
      <c r="C177" s="49" t="str">
        <f>+C168</f>
        <v>Market Rate Retail</v>
      </c>
      <c r="D177" s="67"/>
      <c r="E177" s="68"/>
      <c r="F177" s="68"/>
      <c r="G177" s="80">
        <v>0.1</v>
      </c>
      <c r="H177" s="70">
        <f>-G177*H168</f>
        <v>0</v>
      </c>
      <c r="I177" s="1"/>
      <c r="J177" s="1"/>
      <c r="K177" s="1"/>
    </row>
    <row r="178" spans="1:11" x14ac:dyDescent="0.25">
      <c r="A178" s="38"/>
      <c r="B178" s="74"/>
      <c r="C178" s="74" t="str">
        <f>+C169</f>
        <v>Affordable Innovation</v>
      </c>
      <c r="D178" s="75"/>
      <c r="E178" s="76"/>
      <c r="F178" s="76"/>
      <c r="G178" s="81">
        <v>0.2</v>
      </c>
      <c r="H178" s="77">
        <f>-G178*H169</f>
        <v>0</v>
      </c>
      <c r="I178" s="1"/>
      <c r="J178" s="1"/>
      <c r="K178" s="1"/>
    </row>
    <row r="179" spans="1:11" x14ac:dyDescent="0.25">
      <c r="A179" s="38"/>
      <c r="B179" s="49" t="s">
        <v>54</v>
      </c>
      <c r="C179" s="49"/>
      <c r="D179" s="67"/>
      <c r="E179" s="68"/>
      <c r="F179" s="68"/>
      <c r="G179" s="80"/>
      <c r="H179" s="70">
        <f>SUM(H175:H178)</f>
        <v>-510883.2</v>
      </c>
      <c r="I179" s="1"/>
      <c r="J179" s="1"/>
      <c r="K179" s="1"/>
    </row>
    <row r="180" spans="1:11" s="83" customFormat="1" ht="18.75" x14ac:dyDescent="0.3">
      <c r="A180" s="82"/>
      <c r="C180" s="45"/>
      <c r="D180" s="49"/>
      <c r="E180" s="49"/>
      <c r="F180" s="84"/>
      <c r="G180" s="85"/>
      <c r="H180" s="70"/>
    </row>
    <row r="181" spans="1:11" ht="18.75" x14ac:dyDescent="0.3">
      <c r="A181" s="79" t="s">
        <v>55</v>
      </c>
      <c r="B181" s="49"/>
      <c r="C181" s="49"/>
      <c r="D181" s="67"/>
      <c r="E181" s="68"/>
      <c r="F181" s="68"/>
      <c r="G181" s="68"/>
      <c r="H181" s="70">
        <f>+H171+H179</f>
        <v>11220209.377088564</v>
      </c>
      <c r="I181" s="1"/>
      <c r="J181" s="1"/>
      <c r="K181" s="1"/>
    </row>
    <row r="182" spans="1:11" x14ac:dyDescent="0.25">
      <c r="A182" s="38"/>
      <c r="B182" s="49"/>
      <c r="C182" s="49"/>
      <c r="D182" s="67"/>
      <c r="E182" s="68"/>
      <c r="F182" s="68"/>
      <c r="G182" s="68"/>
      <c r="H182" s="70"/>
      <c r="I182" s="1"/>
      <c r="J182" s="1"/>
      <c r="K182" s="1"/>
    </row>
    <row r="183" spans="1:11" ht="18.75" x14ac:dyDescent="0.3">
      <c r="A183" s="79" t="s">
        <v>56</v>
      </c>
      <c r="B183" s="49"/>
      <c r="C183" s="49"/>
      <c r="D183" s="49"/>
      <c r="E183" s="49"/>
      <c r="F183" s="49"/>
      <c r="G183" s="49"/>
      <c r="H183" s="70"/>
      <c r="I183" s="1"/>
      <c r="J183" s="1"/>
      <c r="K183" s="1"/>
    </row>
    <row r="184" spans="1:11" x14ac:dyDescent="0.25">
      <c r="A184" s="38"/>
      <c r="B184" s="49" t="s">
        <v>57</v>
      </c>
      <c r="C184" s="49" t="s">
        <v>58</v>
      </c>
      <c r="D184" s="49"/>
      <c r="E184" s="49"/>
      <c r="F184" s="68">
        <v>7500</v>
      </c>
      <c r="G184" s="68" t="s">
        <v>59</v>
      </c>
      <c r="H184" s="70">
        <f>-F184*D171</f>
        <v>-2643315.789473684</v>
      </c>
      <c r="I184" s="1"/>
      <c r="J184" s="1"/>
      <c r="K184" s="1"/>
    </row>
    <row r="185" spans="1:11" x14ac:dyDescent="0.25">
      <c r="A185" s="38"/>
      <c r="B185" s="49"/>
      <c r="C185" s="49" t="s">
        <v>60</v>
      </c>
      <c r="D185" s="78">
        <v>7.0000000000000007E-2</v>
      </c>
      <c r="E185" s="49" t="s">
        <v>61</v>
      </c>
      <c r="F185" s="68">
        <f>ROUND(-H185/D171,-2)</f>
        <v>2300</v>
      </c>
      <c r="G185" s="68" t="s">
        <v>59</v>
      </c>
      <c r="H185" s="70">
        <f>(H165+H166+H170)*-D185</f>
        <v>-799417.9641295328</v>
      </c>
      <c r="I185" s="1"/>
      <c r="J185" s="1"/>
      <c r="K185" s="1"/>
    </row>
    <row r="186" spans="1:11" x14ac:dyDescent="0.25">
      <c r="A186" s="38"/>
      <c r="B186" s="49"/>
      <c r="C186" s="49" t="s">
        <v>62</v>
      </c>
      <c r="D186" s="80">
        <v>2.5000000000000001E-2</v>
      </c>
      <c r="E186" s="49" t="s">
        <v>63</v>
      </c>
      <c r="F186" s="68">
        <f>-H186/D171</f>
        <v>769.57631032762083</v>
      </c>
      <c r="G186" s="68" t="s">
        <v>59</v>
      </c>
      <c r="H186" s="70">
        <f>-D186*((H165+H166+H170)*(1-G175))</f>
        <v>-271231.09497252002</v>
      </c>
      <c r="I186" s="1"/>
      <c r="J186" s="1"/>
      <c r="K186" s="1"/>
    </row>
    <row r="187" spans="1:11" x14ac:dyDescent="0.25">
      <c r="A187" s="38"/>
      <c r="B187" s="49"/>
      <c r="C187" s="49" t="s">
        <v>64</v>
      </c>
      <c r="D187" s="49"/>
      <c r="E187" s="49"/>
      <c r="F187" s="68">
        <v>250</v>
      </c>
      <c r="G187" s="68" t="s">
        <v>59</v>
      </c>
      <c r="H187" s="70">
        <f>-F187*D171</f>
        <v>-88110.526315789466</v>
      </c>
      <c r="I187" s="1"/>
      <c r="J187" s="1"/>
      <c r="K187" s="1"/>
    </row>
    <row r="188" spans="1:11" x14ac:dyDescent="0.25">
      <c r="A188" s="38"/>
      <c r="B188" s="74" t="s">
        <v>46</v>
      </c>
      <c r="C188" s="86" t="s">
        <v>65</v>
      </c>
      <c r="D188" s="74"/>
      <c r="E188" s="74"/>
      <c r="F188" s="87">
        <v>0.02</v>
      </c>
      <c r="G188" s="74" t="s">
        <v>66</v>
      </c>
      <c r="H188" s="77">
        <f>-F188*(H168+H169)</f>
        <v>0</v>
      </c>
      <c r="I188" s="1"/>
      <c r="J188" s="1"/>
      <c r="K188" s="1"/>
    </row>
    <row r="189" spans="1:11" x14ac:dyDescent="0.25">
      <c r="A189" s="38"/>
      <c r="B189" s="49" t="s">
        <v>67</v>
      </c>
      <c r="C189" s="49"/>
      <c r="D189" s="78">
        <f>-H189/H181</f>
        <v>0.33885957446171067</v>
      </c>
      <c r="E189" s="68" t="s">
        <v>68</v>
      </c>
      <c r="F189" s="68">
        <f>-H189/D171</f>
        <v>10787.801224977451</v>
      </c>
      <c r="G189" s="68" t="s">
        <v>59</v>
      </c>
      <c r="H189" s="70">
        <f>SUM(H184:H188)</f>
        <v>-3802075.3748915265</v>
      </c>
      <c r="I189" s="1"/>
      <c r="J189" s="1"/>
      <c r="K189" s="1"/>
    </row>
    <row r="190" spans="1:11" ht="15.75" thickBot="1" x14ac:dyDescent="0.3">
      <c r="A190" s="38"/>
      <c r="B190" s="49"/>
      <c r="C190" s="49"/>
      <c r="D190" s="49"/>
      <c r="E190" s="32"/>
      <c r="F190" s="49"/>
      <c r="G190" s="49"/>
      <c r="H190" s="70"/>
      <c r="I190" s="1"/>
      <c r="J190" s="1"/>
      <c r="K190" s="1"/>
    </row>
    <row r="191" spans="1:11" ht="18.75" x14ac:dyDescent="0.3">
      <c r="A191" s="79" t="s">
        <v>69</v>
      </c>
      <c r="B191" s="49"/>
      <c r="C191" s="49"/>
      <c r="D191" s="78">
        <f>+H191/H181</f>
        <v>0.66114042553828922</v>
      </c>
      <c r="E191" s="68" t="s">
        <v>68</v>
      </c>
      <c r="F191" s="68">
        <f>+H191/D171</f>
        <v>21047.808679550759</v>
      </c>
      <c r="G191" s="68" t="s">
        <v>59</v>
      </c>
      <c r="H191" s="70">
        <f>+H181+H189</f>
        <v>7418134.0021970365</v>
      </c>
      <c r="I191" s="1"/>
      <c r="J191" s="88">
        <f>+H191/1.25</f>
        <v>5934507.2017576294</v>
      </c>
      <c r="K191" s="89" t="s">
        <v>70</v>
      </c>
    </row>
    <row r="192" spans="1:11" x14ac:dyDescent="0.25">
      <c r="A192" s="38"/>
      <c r="B192" s="49"/>
      <c r="C192" s="49"/>
      <c r="D192" s="49"/>
      <c r="E192" s="49"/>
      <c r="F192" s="49"/>
      <c r="G192" s="49"/>
      <c r="H192" s="70"/>
      <c r="I192" s="1"/>
      <c r="J192" s="90">
        <f>-J191/(PMT(0.04/12,30*12,1)*12)</f>
        <v>103587436.6637077</v>
      </c>
      <c r="K192" s="91" t="s">
        <v>71</v>
      </c>
    </row>
    <row r="193" spans="1:11" ht="18.75" x14ac:dyDescent="0.3">
      <c r="A193" s="79" t="s">
        <v>72</v>
      </c>
      <c r="B193" s="49"/>
      <c r="C193" s="49"/>
      <c r="D193" s="49"/>
      <c r="E193" s="49"/>
      <c r="F193" s="49"/>
      <c r="G193" s="49"/>
      <c r="H193" s="70"/>
      <c r="I193" s="1"/>
      <c r="J193" s="92">
        <f>+H207-J192</f>
        <v>17112563.336292297</v>
      </c>
      <c r="K193" s="91" t="s">
        <v>73</v>
      </c>
    </row>
    <row r="194" spans="1:11" x14ac:dyDescent="0.25">
      <c r="A194" s="38"/>
      <c r="B194" s="49" t="s">
        <v>74</v>
      </c>
      <c r="C194" s="49"/>
      <c r="D194" s="49"/>
      <c r="E194" s="93" t="s">
        <v>75</v>
      </c>
      <c r="F194" s="94">
        <v>0.05</v>
      </c>
      <c r="G194" s="49" t="s">
        <v>76</v>
      </c>
      <c r="H194" s="70">
        <f>+H191/F194</f>
        <v>148362680.04394072</v>
      </c>
      <c r="I194" s="1"/>
      <c r="J194" s="92">
        <f>+H191-J191</f>
        <v>1483626.8004394071</v>
      </c>
      <c r="K194" s="91" t="s">
        <v>77</v>
      </c>
    </row>
    <row r="195" spans="1:11" ht="15.75" thickBot="1" x14ac:dyDescent="0.3">
      <c r="A195" s="38"/>
      <c r="B195" s="49"/>
      <c r="C195" s="49"/>
      <c r="D195" s="49"/>
      <c r="E195" s="49"/>
      <c r="F195" s="49"/>
      <c r="G195" s="93" t="s">
        <v>78</v>
      </c>
      <c r="H195" s="70">
        <f>ROUND(H194,-5)</f>
        <v>148400000</v>
      </c>
      <c r="I195" s="1"/>
      <c r="J195" s="95">
        <f>+J194/J193</f>
        <v>8.669810426898078E-2</v>
      </c>
      <c r="K195" s="96" t="s">
        <v>79</v>
      </c>
    </row>
    <row r="196" spans="1:11" x14ac:dyDescent="0.25">
      <c r="A196" s="38"/>
      <c r="B196" s="49"/>
      <c r="C196" s="49"/>
      <c r="D196" s="49"/>
      <c r="E196" s="49"/>
      <c r="F196" s="49"/>
      <c r="G196" s="93" t="s">
        <v>80</v>
      </c>
      <c r="H196" s="70">
        <f>+H195/E172</f>
        <v>443.22322441909085</v>
      </c>
      <c r="I196" s="1"/>
      <c r="J196" s="1"/>
      <c r="K196" s="1"/>
    </row>
    <row r="197" spans="1:11" x14ac:dyDescent="0.25">
      <c r="A197" s="38"/>
      <c r="B197" s="49"/>
      <c r="C197" s="49"/>
      <c r="D197" s="49"/>
      <c r="E197" s="49"/>
      <c r="F197" s="49"/>
      <c r="G197" s="93" t="s">
        <v>59</v>
      </c>
      <c r="H197" s="70">
        <f>+H195/D171</f>
        <v>421062.06319813634</v>
      </c>
      <c r="I197" s="1"/>
      <c r="J197" s="1">
        <v>646091.59779614327</v>
      </c>
      <c r="K197" s="2">
        <f>+J197-H197</f>
        <v>225029.53459800693</v>
      </c>
    </row>
    <row r="198" spans="1:11" x14ac:dyDescent="0.25">
      <c r="A198" s="97"/>
      <c r="B198" s="74"/>
      <c r="C198" s="74"/>
      <c r="D198" s="74"/>
      <c r="E198" s="74"/>
      <c r="F198" s="74"/>
      <c r="G198" s="98"/>
      <c r="H198" s="77"/>
      <c r="I198" s="1"/>
      <c r="J198" s="1"/>
      <c r="K198" s="1"/>
    </row>
    <row r="199" spans="1:11" x14ac:dyDescent="0.25">
      <c r="A199" s="38"/>
      <c r="B199" s="49"/>
      <c r="C199" s="49"/>
      <c r="D199" s="49"/>
      <c r="E199" s="49"/>
      <c r="F199" s="94"/>
      <c r="G199" s="49"/>
      <c r="H199" s="70"/>
      <c r="I199" s="1"/>
      <c r="J199" s="1"/>
      <c r="K199" s="1"/>
    </row>
    <row r="200" spans="1:11" ht="19.5" thickBot="1" x14ac:dyDescent="0.35">
      <c r="A200" s="79" t="s">
        <v>81</v>
      </c>
      <c r="B200" s="49"/>
      <c r="C200" s="49"/>
      <c r="D200" s="49"/>
      <c r="E200" s="49"/>
      <c r="F200" s="49"/>
      <c r="G200" s="49"/>
      <c r="H200" s="70"/>
      <c r="I200" s="1"/>
      <c r="J200" s="1"/>
      <c r="K200" s="1"/>
    </row>
    <row r="201" spans="1:11" ht="19.5" thickBot="1" x14ac:dyDescent="0.35">
      <c r="A201" s="79"/>
      <c r="B201" s="49" t="s">
        <v>82</v>
      </c>
      <c r="C201" s="49"/>
      <c r="D201" s="68">
        <f>+H201/D171</f>
        <v>22554.427752225078</v>
      </c>
      <c r="E201" s="49" t="s">
        <v>59</v>
      </c>
      <c r="F201" s="73">
        <v>70</v>
      </c>
      <c r="G201" s="49" t="s">
        <v>83</v>
      </c>
      <c r="H201" s="99">
        <f>F201*H147</f>
        <v>7949130</v>
      </c>
      <c r="I201" s="1"/>
      <c r="J201" s="1"/>
      <c r="K201" s="1"/>
    </row>
    <row r="202" spans="1:11" ht="12.75" customHeight="1" x14ac:dyDescent="0.3">
      <c r="A202" s="79"/>
      <c r="B202" s="49" t="s">
        <v>84</v>
      </c>
      <c r="C202" s="49"/>
      <c r="D202" s="68">
        <v>300000</v>
      </c>
      <c r="E202" s="49" t="s">
        <v>59</v>
      </c>
      <c r="F202" s="67">
        <f>H157</f>
        <v>0</v>
      </c>
      <c r="G202" s="49" t="s">
        <v>35</v>
      </c>
      <c r="H202" s="70">
        <f>+F202*D202</f>
        <v>0</v>
      </c>
      <c r="I202" s="1"/>
      <c r="J202" s="1"/>
      <c r="K202" s="1"/>
    </row>
    <row r="203" spans="1:11" x14ac:dyDescent="0.25">
      <c r="A203" s="38"/>
      <c r="B203" s="49" t="s">
        <v>57</v>
      </c>
      <c r="C203" s="49"/>
      <c r="D203" s="49"/>
      <c r="E203" s="49"/>
      <c r="F203" s="73">
        <f>280*0.92</f>
        <v>257.60000000000002</v>
      </c>
      <c r="G203" s="49" t="s">
        <v>85</v>
      </c>
      <c r="H203" s="70">
        <f>+F203*E172</f>
        <v>86249632.000000015</v>
      </c>
      <c r="I203" s="1"/>
      <c r="J203" s="1"/>
      <c r="K203" s="1"/>
    </row>
    <row r="204" spans="1:11" x14ac:dyDescent="0.25">
      <c r="A204" s="38"/>
      <c r="B204" s="49" t="s">
        <v>46</v>
      </c>
      <c r="C204" s="49"/>
      <c r="D204" s="49"/>
      <c r="E204" s="49"/>
      <c r="F204" s="73">
        <v>280</v>
      </c>
      <c r="G204" s="49" t="s">
        <v>85</v>
      </c>
      <c r="H204" s="70">
        <f>F204*(E173)</f>
        <v>0</v>
      </c>
      <c r="I204" s="1"/>
      <c r="J204" s="1"/>
      <c r="K204" s="1"/>
    </row>
    <row r="205" spans="1:11" x14ac:dyDescent="0.25">
      <c r="A205" s="38"/>
      <c r="B205" s="49" t="s">
        <v>86</v>
      </c>
      <c r="C205" s="49" t="s">
        <v>87</v>
      </c>
      <c r="D205" s="67">
        <f>+D170</f>
        <v>264.33157894736843</v>
      </c>
      <c r="E205" s="32" t="s">
        <v>88</v>
      </c>
      <c r="F205" s="68">
        <v>35000</v>
      </c>
      <c r="G205" s="49" t="s">
        <v>89</v>
      </c>
      <c r="H205" s="70">
        <f>+F205*D170</f>
        <v>9251605.2631578948</v>
      </c>
      <c r="I205" s="1"/>
      <c r="J205" s="1"/>
      <c r="K205" s="1"/>
    </row>
    <row r="206" spans="1:11" x14ac:dyDescent="0.25">
      <c r="A206" s="38"/>
      <c r="B206" s="74" t="s">
        <v>90</v>
      </c>
      <c r="C206" s="74"/>
      <c r="D206" s="74"/>
      <c r="E206" s="74"/>
      <c r="F206" s="87">
        <v>0.2</v>
      </c>
      <c r="G206" s="74" t="s">
        <v>91</v>
      </c>
      <c r="H206" s="77">
        <f>ROUND((H203+H204)*F206,-5)</f>
        <v>17200000</v>
      </c>
      <c r="I206" s="1"/>
      <c r="J206" s="1"/>
      <c r="K206" s="1"/>
    </row>
    <row r="207" spans="1:11" x14ac:dyDescent="0.25">
      <c r="A207" s="38"/>
      <c r="B207" s="49"/>
      <c r="C207" s="49"/>
      <c r="D207" s="49"/>
      <c r="E207" s="49"/>
      <c r="F207" s="49"/>
      <c r="G207" s="93" t="s">
        <v>78</v>
      </c>
      <c r="H207" s="70">
        <f>ROUND(SUM(H201:H206),-5)</f>
        <v>120700000</v>
      </c>
      <c r="I207" s="1"/>
      <c r="J207" s="1"/>
      <c r="K207" s="1"/>
    </row>
    <row r="208" spans="1:11" x14ac:dyDescent="0.25">
      <c r="A208" s="38"/>
      <c r="B208" s="49"/>
      <c r="C208" s="49"/>
      <c r="D208" s="49"/>
      <c r="E208" s="49"/>
      <c r="F208" s="49"/>
      <c r="G208" s="93" t="s">
        <v>80</v>
      </c>
      <c r="H208" s="70">
        <f>+H207/(E172+E173)</f>
        <v>360.49220476674031</v>
      </c>
      <c r="I208" s="1"/>
      <c r="J208" s="1"/>
      <c r="K208" s="1"/>
    </row>
    <row r="209" spans="1:11" x14ac:dyDescent="0.25">
      <c r="A209" s="38"/>
      <c r="B209" s="49"/>
      <c r="C209" s="49"/>
      <c r="D209" s="49"/>
      <c r="E209" s="49"/>
      <c r="F209" s="49"/>
      <c r="G209" s="93" t="s">
        <v>59</v>
      </c>
      <c r="H209" s="70">
        <f>+H207/H150</f>
        <v>342467.59452840331</v>
      </c>
      <c r="I209" s="1"/>
      <c r="J209" s="1">
        <v>486340.6795224977</v>
      </c>
    </row>
    <row r="210" spans="1:11" x14ac:dyDescent="0.25">
      <c r="A210" s="38"/>
      <c r="B210" s="49"/>
      <c r="C210" s="49"/>
      <c r="D210" s="49"/>
      <c r="E210" s="49"/>
      <c r="F210" s="49"/>
      <c r="G210" s="49"/>
      <c r="H210" s="70"/>
      <c r="I210" s="1"/>
      <c r="J210" s="1"/>
    </row>
    <row r="211" spans="1:11" ht="18.75" x14ac:dyDescent="0.3">
      <c r="A211" s="100" t="s">
        <v>92</v>
      </c>
      <c r="B211" s="49"/>
      <c r="C211" s="49"/>
      <c r="D211" s="49"/>
      <c r="E211" s="93" t="s">
        <v>93</v>
      </c>
      <c r="F211" s="80">
        <f>+H191/H207</f>
        <v>6.1459270937837915E-2</v>
      </c>
      <c r="G211" s="93" t="s">
        <v>94</v>
      </c>
      <c r="H211" s="70">
        <f>+H195-H207</f>
        <v>27700000</v>
      </c>
      <c r="I211" s="1"/>
      <c r="J211" s="1"/>
    </row>
    <row r="212" spans="1:11" ht="15.75" thickBot="1" x14ac:dyDescent="0.3">
      <c r="A212" s="101"/>
      <c r="B212" s="102"/>
      <c r="C212" s="102"/>
      <c r="D212" s="103"/>
      <c r="E212" s="103"/>
      <c r="F212" s="103"/>
      <c r="G212" s="102"/>
      <c r="H212" s="104"/>
      <c r="I212" s="1"/>
      <c r="J212" s="1"/>
    </row>
    <row r="213" spans="1:11" ht="15.75" thickBo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</row>
    <row r="214" spans="1:11" ht="18.75" x14ac:dyDescent="0.3">
      <c r="A214" s="3" t="s">
        <v>7</v>
      </c>
      <c r="B214" s="4"/>
      <c r="C214" s="5" t="s">
        <v>8</v>
      </c>
      <c r="D214" s="6" t="s">
        <v>9</v>
      </c>
      <c r="E214" s="7"/>
      <c r="F214" s="7"/>
      <c r="G214" s="8" t="s">
        <v>10</v>
      </c>
      <c r="H214" s="25" t="s">
        <v>11</v>
      </c>
      <c r="I214" s="1"/>
      <c r="J214" s="1"/>
    </row>
    <row r="215" spans="1:11" ht="18.75" x14ac:dyDescent="0.3">
      <c r="A215" s="26" t="s">
        <v>12</v>
      </c>
      <c r="B215" s="27"/>
      <c r="C215" s="11"/>
      <c r="D215" s="28" t="s">
        <v>1</v>
      </c>
      <c r="E215" s="12" t="s">
        <v>13</v>
      </c>
      <c r="F215" s="29">
        <v>1</v>
      </c>
      <c r="G215" s="30" t="s">
        <v>14</v>
      </c>
      <c r="H215" s="31">
        <v>175282.15384615384</v>
      </c>
      <c r="I215" s="1"/>
      <c r="J215" s="1"/>
    </row>
    <row r="216" spans="1:11" ht="18.75" x14ac:dyDescent="0.3">
      <c r="A216" s="26" t="s">
        <v>103</v>
      </c>
      <c r="B216" s="27"/>
      <c r="C216" s="32"/>
      <c r="D216" s="11" t="s">
        <v>16</v>
      </c>
      <c r="E216" s="12"/>
      <c r="F216" s="33"/>
      <c r="G216" s="14" t="s">
        <v>4</v>
      </c>
      <c r="H216" s="15">
        <f>H217/H215</f>
        <v>3.8122534743982013</v>
      </c>
      <c r="I216" s="148" t="s">
        <v>138</v>
      </c>
      <c r="J216" s="146"/>
      <c r="K216" s="144" t="s">
        <v>139</v>
      </c>
    </row>
    <row r="217" spans="1:11" ht="19.5" thickBot="1" x14ac:dyDescent="0.35">
      <c r="A217" s="34" t="s">
        <v>17</v>
      </c>
      <c r="B217" s="35"/>
      <c r="C217" s="36"/>
      <c r="D217" s="11" t="s">
        <v>18</v>
      </c>
      <c r="E217" s="17"/>
      <c r="F217" s="17"/>
      <c r="G217" s="37" t="s">
        <v>19</v>
      </c>
      <c r="H217" s="31">
        <v>668220</v>
      </c>
      <c r="I217" s="145">
        <f>H215*2</f>
        <v>350564.30769230769</v>
      </c>
      <c r="J217" s="146" t="s">
        <v>137</v>
      </c>
      <c r="K217" s="144">
        <f>I217/G218</f>
        <v>369.01506072874491</v>
      </c>
    </row>
    <row r="218" spans="1:11" ht="18.75" x14ac:dyDescent="0.3">
      <c r="A218" s="38"/>
      <c r="B218" s="32"/>
      <c r="C218" s="36"/>
      <c r="D218" s="11" t="s">
        <v>5</v>
      </c>
      <c r="E218" s="17"/>
      <c r="F218" s="17"/>
      <c r="G218" s="18">
        <f>G150</f>
        <v>950</v>
      </c>
      <c r="H218" s="39">
        <f>H217/G218</f>
        <v>703.38947368421054</v>
      </c>
      <c r="I218" s="145">
        <f>H217-I217</f>
        <v>317655.69230769231</v>
      </c>
      <c r="J218" s="147" t="s">
        <v>140</v>
      </c>
      <c r="K218" s="144">
        <f>I218/G218</f>
        <v>334.37441295546557</v>
      </c>
    </row>
    <row r="219" spans="1:11" ht="18.75" x14ac:dyDescent="0.3">
      <c r="A219" s="38"/>
      <c r="B219" s="32"/>
      <c r="C219" s="1"/>
      <c r="D219" s="11" t="s">
        <v>20</v>
      </c>
      <c r="E219" s="17"/>
      <c r="F219" s="17"/>
      <c r="G219" s="41"/>
      <c r="H219" s="42">
        <v>0.75</v>
      </c>
      <c r="I219" s="143"/>
      <c r="J219" s="143"/>
      <c r="K219" s="144">
        <f>SUM(K217:K218)</f>
        <v>703.38947368421054</v>
      </c>
    </row>
    <row r="220" spans="1:11" ht="18.75" x14ac:dyDescent="0.3">
      <c r="A220" s="38"/>
      <c r="B220" s="32"/>
      <c r="C220" s="21" t="s">
        <v>21</v>
      </c>
      <c r="D220" s="21" t="s">
        <v>101</v>
      </c>
      <c r="E220" s="22"/>
      <c r="F220" s="22"/>
      <c r="G220" s="21"/>
      <c r="H220" s="141">
        <v>48</v>
      </c>
      <c r="I220" s="44"/>
      <c r="J220" s="1"/>
    </row>
    <row r="221" spans="1:11" ht="18.75" x14ac:dyDescent="0.3">
      <c r="A221" s="38"/>
      <c r="B221" s="32"/>
      <c r="C221" s="45"/>
      <c r="D221" s="21" t="s">
        <v>102</v>
      </c>
      <c r="E221" s="22"/>
      <c r="F221" s="22"/>
      <c r="G221" s="21"/>
      <c r="H221" s="141">
        <v>97</v>
      </c>
      <c r="I221" s="1"/>
      <c r="J221" s="44">
        <f>K217*0.13+K218*0.29</f>
        <v>144.94053765182184</v>
      </c>
    </row>
    <row r="222" spans="1:11" ht="18.75" x14ac:dyDescent="0.3">
      <c r="A222" s="38"/>
      <c r="B222" s="32"/>
      <c r="C222" s="45"/>
      <c r="D222" s="21" t="s">
        <v>23</v>
      </c>
      <c r="E222" s="22"/>
      <c r="F222" s="22"/>
      <c r="G222" s="21"/>
      <c r="H222" s="23">
        <f>SUM(H220:H221)</f>
        <v>145</v>
      </c>
      <c r="I222" s="1"/>
      <c r="J222" s="1"/>
    </row>
    <row r="223" spans="1:11" ht="18.75" x14ac:dyDescent="0.3">
      <c r="A223" s="38"/>
      <c r="B223" s="32"/>
      <c r="C223" s="1"/>
      <c r="D223" s="21" t="s">
        <v>24</v>
      </c>
      <c r="E223" s="22"/>
      <c r="F223" s="22"/>
      <c r="G223" s="21"/>
      <c r="H223" s="46">
        <f>(H222+H225)/H218</f>
        <v>0.20614468288886892</v>
      </c>
      <c r="I223" s="1"/>
      <c r="J223" s="1"/>
    </row>
    <row r="224" spans="1:11" ht="18.75" x14ac:dyDescent="0.3">
      <c r="A224" s="38"/>
      <c r="B224" s="32"/>
      <c r="C224" s="45"/>
      <c r="D224" s="21" t="s">
        <v>17</v>
      </c>
      <c r="E224" s="22"/>
      <c r="F224" s="22"/>
      <c r="G224" s="21"/>
      <c r="H224" s="47">
        <f>H222/H218</f>
        <v>0.20614468288886892</v>
      </c>
      <c r="I224" s="1"/>
      <c r="J224" s="1"/>
    </row>
    <row r="225" spans="1:9" ht="18.75" x14ac:dyDescent="0.3">
      <c r="A225" s="38"/>
      <c r="B225" s="32"/>
      <c r="C225" s="36"/>
      <c r="D225" s="21" t="s">
        <v>98</v>
      </c>
      <c r="E225" s="22"/>
      <c r="F225" s="22"/>
      <c r="G225" s="21"/>
      <c r="H225" s="23">
        <v>0</v>
      </c>
      <c r="I225" s="110">
        <f>J221-H222</f>
        <v>-5.9462348178158209E-2</v>
      </c>
    </row>
    <row r="226" spans="1:9" ht="18.75" x14ac:dyDescent="0.3">
      <c r="A226" s="38"/>
      <c r="B226" s="32"/>
      <c r="C226" s="36"/>
      <c r="D226" s="21" t="s">
        <v>27</v>
      </c>
      <c r="E226" s="22"/>
      <c r="F226" s="22"/>
      <c r="G226" s="21"/>
      <c r="H226" s="48">
        <v>300000</v>
      </c>
      <c r="I226" s="1"/>
    </row>
    <row r="227" spans="1:9" ht="19.5" thickBot="1" x14ac:dyDescent="0.35">
      <c r="A227" s="38"/>
      <c r="B227" s="32"/>
      <c r="C227" s="49"/>
      <c r="D227" s="45"/>
      <c r="E227" s="45"/>
      <c r="F227" s="49"/>
      <c r="G227" s="45"/>
      <c r="H227" s="50"/>
      <c r="I227" s="1"/>
    </row>
    <row r="228" spans="1:9" ht="19.5" thickBot="1" x14ac:dyDescent="0.35">
      <c r="A228" s="38"/>
      <c r="B228" s="32"/>
      <c r="C228" s="51" t="s">
        <v>28</v>
      </c>
      <c r="D228" s="51" t="s">
        <v>29</v>
      </c>
      <c r="E228" s="52"/>
      <c r="F228" s="53">
        <v>6.0999999999999999E-2</v>
      </c>
      <c r="G228" s="54" t="s">
        <v>30</v>
      </c>
      <c r="H228" s="55">
        <f>+F279</f>
        <v>6.0770723221278376E-2</v>
      </c>
      <c r="I228" s="1"/>
    </row>
    <row r="229" spans="1:9" ht="18.75" x14ac:dyDescent="0.3">
      <c r="A229" s="38"/>
      <c r="B229" s="32"/>
      <c r="C229" s="36"/>
      <c r="D229" s="51" t="s">
        <v>31</v>
      </c>
      <c r="E229" s="52"/>
      <c r="F229" s="56">
        <f>F161</f>
        <v>3.65</v>
      </c>
      <c r="G229" s="51" t="s">
        <v>32</v>
      </c>
      <c r="H229" s="57"/>
      <c r="I229" s="1"/>
    </row>
    <row r="230" spans="1:9" ht="19.5" thickBot="1" x14ac:dyDescent="0.35">
      <c r="A230" s="38"/>
      <c r="B230" s="32"/>
      <c r="C230" s="32"/>
      <c r="D230" s="36"/>
      <c r="E230" s="45"/>
      <c r="F230" s="49"/>
      <c r="G230" s="45"/>
      <c r="H230" s="58"/>
      <c r="I230" s="1"/>
    </row>
    <row r="231" spans="1:9" ht="18.75" x14ac:dyDescent="0.3">
      <c r="A231" s="59" t="s">
        <v>33</v>
      </c>
      <c r="B231" s="60"/>
      <c r="C231" s="60"/>
      <c r="D231" s="60"/>
      <c r="E231" s="60"/>
      <c r="F231" s="60"/>
      <c r="G231" s="60"/>
      <c r="H231" s="61"/>
      <c r="I231" s="1"/>
    </row>
    <row r="232" spans="1:9" ht="30" x14ac:dyDescent="0.25">
      <c r="A232" s="62" t="s">
        <v>34</v>
      </c>
      <c r="B232" s="63"/>
      <c r="C232" s="63"/>
      <c r="D232" s="64" t="s">
        <v>35</v>
      </c>
      <c r="E232" s="64" t="s">
        <v>36</v>
      </c>
      <c r="F232" s="64" t="s">
        <v>37</v>
      </c>
      <c r="G232" s="64" t="s">
        <v>38</v>
      </c>
      <c r="H232" s="65" t="s">
        <v>39</v>
      </c>
      <c r="I232" s="1"/>
    </row>
    <row r="233" spans="1:9" x14ac:dyDescent="0.25">
      <c r="A233" s="38"/>
      <c r="B233" s="49" t="s">
        <v>40</v>
      </c>
      <c r="C233" s="49" t="s">
        <v>41</v>
      </c>
      <c r="D233" s="66">
        <f>ROUND(H218-D234-D235,0)</f>
        <v>558</v>
      </c>
      <c r="E233" s="67">
        <v>810</v>
      </c>
      <c r="F233" s="68">
        <f>+G233*E233</f>
        <v>2956.5</v>
      </c>
      <c r="G233" s="69">
        <f>F229</f>
        <v>3.65</v>
      </c>
      <c r="H233" s="70">
        <f>+D233*F233*12</f>
        <v>19796724</v>
      </c>
      <c r="I233" s="1"/>
    </row>
    <row r="234" spans="1:9" x14ac:dyDescent="0.25">
      <c r="A234" s="38"/>
      <c r="B234" s="71" t="s">
        <v>42</v>
      </c>
      <c r="C234" s="49" t="s">
        <v>43</v>
      </c>
      <c r="D234" s="66">
        <f>H220</f>
        <v>48</v>
      </c>
      <c r="E234" s="67">
        <v>810</v>
      </c>
      <c r="F234" s="68">
        <v>1098.26</v>
      </c>
      <c r="G234" s="72">
        <f>IF(H234=0,0,+H234/(E234*D234)/12)</f>
        <v>1.3558765432098765</v>
      </c>
      <c r="H234" s="70">
        <f>+F234*D234*12</f>
        <v>632597.76000000001</v>
      </c>
      <c r="I234" s="1"/>
    </row>
    <row r="235" spans="1:9" x14ac:dyDescent="0.25">
      <c r="A235" s="38"/>
      <c r="B235" s="71" t="s">
        <v>44</v>
      </c>
      <c r="C235" s="49" t="s">
        <v>45</v>
      </c>
      <c r="D235" s="66">
        <f>H221</f>
        <v>97</v>
      </c>
      <c r="E235" s="67">
        <v>810</v>
      </c>
      <c r="F235" s="68">
        <v>784.93925925925919</v>
      </c>
      <c r="G235" s="73">
        <f>IF(H235=0,0,+H235/(E235*D235)/12)</f>
        <v>0.96906081390031995</v>
      </c>
      <c r="H235" s="70">
        <f>+F235*D235*12</f>
        <v>913669.29777777765</v>
      </c>
      <c r="I235" s="1"/>
    </row>
    <row r="236" spans="1:9" x14ac:dyDescent="0.25">
      <c r="A236" s="38"/>
      <c r="B236" s="49" t="s">
        <v>46</v>
      </c>
      <c r="C236" s="49" t="s">
        <v>47</v>
      </c>
      <c r="D236" s="67">
        <v>0</v>
      </c>
      <c r="E236" s="67">
        <v>0</v>
      </c>
      <c r="F236" s="73">
        <v>0</v>
      </c>
      <c r="G236" s="73">
        <v>0</v>
      </c>
      <c r="H236" s="70">
        <f>+G236*E236*D236</f>
        <v>0</v>
      </c>
      <c r="I236" s="1"/>
    </row>
    <row r="237" spans="1:9" x14ac:dyDescent="0.25">
      <c r="A237" s="38"/>
      <c r="B237" s="49"/>
      <c r="C237" s="49" t="s">
        <v>48</v>
      </c>
      <c r="D237" s="67">
        <v>0</v>
      </c>
      <c r="E237" s="67">
        <v>5000</v>
      </c>
      <c r="F237" s="73">
        <f>+G237/12</f>
        <v>0</v>
      </c>
      <c r="G237" s="73">
        <v>0</v>
      </c>
      <c r="H237" s="70">
        <f>+G237*E237*D237</f>
        <v>0</v>
      </c>
      <c r="I237" s="1"/>
    </row>
    <row r="238" spans="1:9" x14ac:dyDescent="0.25">
      <c r="A238" s="38"/>
      <c r="B238" s="74" t="s">
        <v>49</v>
      </c>
      <c r="C238" s="74"/>
      <c r="D238" s="75">
        <f>+H218*H219</f>
        <v>527.54210526315796</v>
      </c>
      <c r="E238" s="76"/>
      <c r="F238" s="76"/>
      <c r="G238" s="76">
        <v>250</v>
      </c>
      <c r="H238" s="77">
        <f>+D238*G238*12</f>
        <v>1582626.3157894739</v>
      </c>
      <c r="I238" s="1"/>
    </row>
    <row r="239" spans="1:9" x14ac:dyDescent="0.25">
      <c r="A239" s="38"/>
      <c r="B239" s="49" t="s">
        <v>50</v>
      </c>
      <c r="C239" s="49"/>
      <c r="D239" s="66">
        <f>+H218</f>
        <v>703.38947368421054</v>
      </c>
      <c r="E239" s="67">
        <f>(E233*D233)+(E234*D234)</f>
        <v>490860</v>
      </c>
      <c r="F239" s="73"/>
      <c r="G239" s="68"/>
      <c r="H239" s="70">
        <f>SUM(H233:H238)</f>
        <v>22925617.373567253</v>
      </c>
      <c r="I239" s="1"/>
    </row>
    <row r="240" spans="1:9" x14ac:dyDescent="0.25">
      <c r="A240" s="38"/>
      <c r="B240" s="49" t="s">
        <v>51</v>
      </c>
      <c r="C240" s="49"/>
      <c r="D240" s="78">
        <v>0.85</v>
      </c>
      <c r="E240" s="67">
        <f>+H217</f>
        <v>668220</v>
      </c>
      <c r="F240" s="68"/>
      <c r="G240" s="68"/>
      <c r="H240" s="70"/>
      <c r="I240" s="1"/>
    </row>
    <row r="241" spans="1:8" x14ac:dyDescent="0.25">
      <c r="A241" s="38"/>
      <c r="B241" s="49" t="s">
        <v>52</v>
      </c>
      <c r="C241" s="49"/>
      <c r="D241" s="78">
        <v>1</v>
      </c>
      <c r="E241" s="67">
        <f>(E236*D236)+(D237*E237)</f>
        <v>0</v>
      </c>
      <c r="F241" s="68"/>
      <c r="G241" s="68"/>
      <c r="H241" s="70"/>
    </row>
    <row r="242" spans="1:8" x14ac:dyDescent="0.25">
      <c r="A242" s="38"/>
      <c r="B242" s="49"/>
      <c r="C242" s="49"/>
      <c r="D242" s="67"/>
      <c r="E242" s="68"/>
      <c r="F242" s="68"/>
      <c r="G242" s="68"/>
      <c r="H242" s="70"/>
    </row>
    <row r="243" spans="1:8" ht="18.75" x14ac:dyDescent="0.3">
      <c r="A243" s="79" t="s">
        <v>53</v>
      </c>
      <c r="B243" s="49"/>
      <c r="C243" s="49" t="str">
        <f>+C233</f>
        <v>Market Rate</v>
      </c>
      <c r="D243" s="67"/>
      <c r="E243" s="68"/>
      <c r="F243" s="68"/>
      <c r="G243" s="80">
        <v>0.05</v>
      </c>
      <c r="H243" s="70">
        <f>-G243*H233</f>
        <v>-989836.20000000007</v>
      </c>
    </row>
    <row r="244" spans="1:8" ht="12.75" customHeight="1" x14ac:dyDescent="0.3">
      <c r="A244" s="79"/>
      <c r="B244" s="49"/>
      <c r="C244" s="49" t="str">
        <f>+C234</f>
        <v>Low Income</v>
      </c>
      <c r="D244" s="67"/>
      <c r="E244" s="68"/>
      <c r="F244" s="68"/>
      <c r="G244" s="80">
        <v>0</v>
      </c>
      <c r="H244" s="70">
        <f>-G244*H234</f>
        <v>0</v>
      </c>
    </row>
    <row r="245" spans="1:8" ht="12.75" customHeight="1" x14ac:dyDescent="0.3">
      <c r="A245" s="79"/>
      <c r="B245" s="49"/>
      <c r="C245" s="49" t="str">
        <f>+C236</f>
        <v>Market Rate Retail</v>
      </c>
      <c r="D245" s="67"/>
      <c r="E245" s="68"/>
      <c r="F245" s="68"/>
      <c r="G245" s="80">
        <v>0.1</v>
      </c>
      <c r="H245" s="70">
        <f>-G245*H236</f>
        <v>0</v>
      </c>
    </row>
    <row r="246" spans="1:8" x14ac:dyDescent="0.25">
      <c r="A246" s="38"/>
      <c r="B246" s="74"/>
      <c r="C246" s="74" t="str">
        <f>+C237</f>
        <v>Affordable Innovation</v>
      </c>
      <c r="D246" s="75"/>
      <c r="E246" s="76"/>
      <c r="F246" s="76"/>
      <c r="G246" s="81">
        <v>0.2</v>
      </c>
      <c r="H246" s="77">
        <f>-G246*H237</f>
        <v>0</v>
      </c>
    </row>
    <row r="247" spans="1:8" x14ac:dyDescent="0.25">
      <c r="A247" s="38"/>
      <c r="B247" s="49" t="s">
        <v>54</v>
      </c>
      <c r="C247" s="49"/>
      <c r="D247" s="67"/>
      <c r="E247" s="68"/>
      <c r="F247" s="68"/>
      <c r="G247" s="80"/>
      <c r="H247" s="70">
        <f>SUM(H243:H246)</f>
        <v>-989836.20000000007</v>
      </c>
    </row>
    <row r="248" spans="1:8" s="83" customFormat="1" ht="18.75" x14ac:dyDescent="0.3">
      <c r="A248" s="82"/>
      <c r="C248" s="45"/>
      <c r="D248" s="49"/>
      <c r="E248" s="49"/>
      <c r="F248" s="84"/>
      <c r="G248" s="85"/>
      <c r="H248" s="70"/>
    </row>
    <row r="249" spans="1:8" ht="18.75" x14ac:dyDescent="0.3">
      <c r="A249" s="79" t="s">
        <v>55</v>
      </c>
      <c r="B249" s="49"/>
      <c r="C249" s="49"/>
      <c r="D249" s="67"/>
      <c r="E249" s="68"/>
      <c r="F249" s="68"/>
      <c r="G249" s="68"/>
      <c r="H249" s="70">
        <f>+H239+H247</f>
        <v>21935781.173567254</v>
      </c>
    </row>
    <row r="250" spans="1:8" x14ac:dyDescent="0.25">
      <c r="A250" s="38"/>
      <c r="B250" s="49"/>
      <c r="C250" s="49"/>
      <c r="D250" s="67"/>
      <c r="E250" s="68"/>
      <c r="F250" s="68"/>
      <c r="G250" s="68"/>
      <c r="H250" s="70"/>
    </row>
    <row r="251" spans="1:8" ht="18.75" x14ac:dyDescent="0.3">
      <c r="A251" s="79" t="s">
        <v>56</v>
      </c>
      <c r="B251" s="49"/>
      <c r="C251" s="49"/>
      <c r="D251" s="49"/>
      <c r="E251" s="49"/>
      <c r="F251" s="49"/>
      <c r="G251" s="49"/>
      <c r="H251" s="70"/>
    </row>
    <row r="252" spans="1:8" x14ac:dyDescent="0.25">
      <c r="A252" s="38"/>
      <c r="B252" s="49" t="s">
        <v>57</v>
      </c>
      <c r="C252" s="49" t="s">
        <v>58</v>
      </c>
      <c r="D252" s="49"/>
      <c r="E252" s="49"/>
      <c r="F252" s="68">
        <v>7500</v>
      </c>
      <c r="G252" s="68" t="s">
        <v>59</v>
      </c>
      <c r="H252" s="70">
        <f>-F252*D239</f>
        <v>-5275421.0526315793</v>
      </c>
    </row>
    <row r="253" spans="1:8" x14ac:dyDescent="0.25">
      <c r="A253" s="38"/>
      <c r="B253" s="49"/>
      <c r="C253" s="49" t="s">
        <v>60</v>
      </c>
      <c r="D253" s="78">
        <v>7.0000000000000007E-2</v>
      </c>
      <c r="E253" s="49" t="s">
        <v>61</v>
      </c>
      <c r="F253" s="68">
        <f>ROUND(-H253/D239,-2)</f>
        <v>2200</v>
      </c>
      <c r="G253" s="68" t="s">
        <v>59</v>
      </c>
      <c r="H253" s="70">
        <f>(H233+H234+H238)*-D253</f>
        <v>-1540836.3653052633</v>
      </c>
    </row>
    <row r="254" spans="1:8" x14ac:dyDescent="0.25">
      <c r="A254" s="38"/>
      <c r="B254" s="49"/>
      <c r="C254" s="49" t="s">
        <v>62</v>
      </c>
      <c r="D254" s="80">
        <v>2.5000000000000001E-2</v>
      </c>
      <c r="E254" s="49" t="s">
        <v>63</v>
      </c>
      <c r="F254" s="68">
        <f>-H254/D239</f>
        <v>743.23512983747867</v>
      </c>
      <c r="G254" s="68" t="s">
        <v>59</v>
      </c>
      <c r="H254" s="70">
        <f>-D254*((H233+H234+H238)*(1-G243))</f>
        <v>-522783.76679999998</v>
      </c>
    </row>
    <row r="255" spans="1:8" x14ac:dyDescent="0.25">
      <c r="A255" s="38"/>
      <c r="B255" s="49"/>
      <c r="C255" s="49" t="s">
        <v>64</v>
      </c>
      <c r="D255" s="49"/>
      <c r="E255" s="49"/>
      <c r="F255" s="68">
        <v>250</v>
      </c>
      <c r="G255" s="68" t="s">
        <v>59</v>
      </c>
      <c r="H255" s="70">
        <f>-F255*D239</f>
        <v>-175847.36842105264</v>
      </c>
    </row>
    <row r="256" spans="1:8" x14ac:dyDescent="0.25">
      <c r="A256" s="38"/>
      <c r="B256" s="74" t="s">
        <v>46</v>
      </c>
      <c r="C256" s="86" t="s">
        <v>65</v>
      </c>
      <c r="D256" s="74"/>
      <c r="E256" s="74"/>
      <c r="F256" s="87">
        <v>0.02</v>
      </c>
      <c r="G256" s="74" t="s">
        <v>66</v>
      </c>
      <c r="H256" s="77">
        <f>-F256*(H236+H237)</f>
        <v>0</v>
      </c>
    </row>
    <row r="257" spans="1:11" x14ac:dyDescent="0.25">
      <c r="A257" s="38"/>
      <c r="B257" s="49" t="s">
        <v>67</v>
      </c>
      <c r="C257" s="49"/>
      <c r="D257" s="78">
        <f>-H257/H249</f>
        <v>0.34258586433262661</v>
      </c>
      <c r="E257" s="68" t="s">
        <v>68</v>
      </c>
      <c r="F257" s="68">
        <f>-H257/D239</f>
        <v>10683.822880937418</v>
      </c>
      <c r="G257" s="68" t="s">
        <v>59</v>
      </c>
      <c r="H257" s="70">
        <f>SUM(H252:H256)</f>
        <v>-7514888.5531578958</v>
      </c>
      <c r="I257" s="1"/>
      <c r="J257" s="1"/>
      <c r="K257" s="1"/>
    </row>
    <row r="258" spans="1:11" ht="15.75" thickBot="1" x14ac:dyDescent="0.3">
      <c r="A258" s="38"/>
      <c r="B258" s="49"/>
      <c r="C258" s="49"/>
      <c r="D258" s="49"/>
      <c r="E258" s="32"/>
      <c r="F258" s="49"/>
      <c r="G258" s="49"/>
      <c r="H258" s="70"/>
      <c r="I258" s="1"/>
      <c r="J258" s="1"/>
      <c r="K258" s="1"/>
    </row>
    <row r="259" spans="1:11" ht="18.75" x14ac:dyDescent="0.3">
      <c r="A259" s="79" t="s">
        <v>69</v>
      </c>
      <c r="B259" s="49"/>
      <c r="C259" s="49"/>
      <c r="D259" s="78">
        <f>+H259/H249</f>
        <v>0.65741413566737339</v>
      </c>
      <c r="E259" s="68" t="s">
        <v>68</v>
      </c>
      <c r="F259" s="68">
        <f>+H259/D239</f>
        <v>20502.00231868081</v>
      </c>
      <c r="G259" s="68" t="s">
        <v>59</v>
      </c>
      <c r="H259" s="70">
        <f>+H249+H257</f>
        <v>14420892.620409358</v>
      </c>
      <c r="I259" s="1"/>
      <c r="J259" s="88">
        <f>+H259/1.25</f>
        <v>11536714.096327487</v>
      </c>
      <c r="K259" s="89" t="s">
        <v>70</v>
      </c>
    </row>
    <row r="260" spans="1:11" x14ac:dyDescent="0.25">
      <c r="A260" s="38"/>
      <c r="B260" s="49"/>
      <c r="C260" s="49"/>
      <c r="D260" s="49"/>
      <c r="E260" s="49"/>
      <c r="F260" s="49"/>
      <c r="G260" s="49"/>
      <c r="H260" s="70"/>
      <c r="I260" s="1"/>
      <c r="J260" s="90">
        <f>-J259/(PMT(0.04/12,30*12,1)*12)</f>
        <v>201374537.11517709</v>
      </c>
      <c r="K260" s="91" t="s">
        <v>71</v>
      </c>
    </row>
    <row r="261" spans="1:11" ht="18.75" x14ac:dyDescent="0.3">
      <c r="A261" s="79" t="s">
        <v>72</v>
      </c>
      <c r="B261" s="49"/>
      <c r="C261" s="49"/>
      <c r="D261" s="49"/>
      <c r="E261" s="49"/>
      <c r="F261" s="49"/>
      <c r="G261" s="49"/>
      <c r="H261" s="70"/>
      <c r="I261" s="1"/>
      <c r="J261" s="92">
        <f>+H275-J260</f>
        <v>35925462.884822905</v>
      </c>
      <c r="K261" s="91" t="s">
        <v>73</v>
      </c>
    </row>
    <row r="262" spans="1:11" x14ac:dyDescent="0.25">
      <c r="A262" s="38"/>
      <c r="B262" s="49" t="s">
        <v>74</v>
      </c>
      <c r="C262" s="49"/>
      <c r="D262" s="49"/>
      <c r="E262" s="93" t="s">
        <v>75</v>
      </c>
      <c r="F262" s="94">
        <v>0.05</v>
      </c>
      <c r="G262" s="49" t="s">
        <v>76</v>
      </c>
      <c r="H262" s="70">
        <f>+H259/F262</f>
        <v>288417852.40818715</v>
      </c>
      <c r="I262" s="1"/>
      <c r="J262" s="92">
        <f>+H259-J259</f>
        <v>2884178.5240818709</v>
      </c>
      <c r="K262" s="91" t="s">
        <v>77</v>
      </c>
    </row>
    <row r="263" spans="1:11" ht="15.75" thickBot="1" x14ac:dyDescent="0.3">
      <c r="A263" s="38"/>
      <c r="B263" s="49"/>
      <c r="C263" s="49"/>
      <c r="D263" s="49"/>
      <c r="E263" s="49"/>
      <c r="F263" s="49"/>
      <c r="G263" s="93" t="s">
        <v>78</v>
      </c>
      <c r="H263" s="70">
        <f>ROUND(H262,-5)</f>
        <v>288400000</v>
      </c>
      <c r="I263" s="1"/>
      <c r="J263" s="95">
        <f>+J262/J261</f>
        <v>8.0282292627058202E-2</v>
      </c>
      <c r="K263" s="96" t="s">
        <v>79</v>
      </c>
    </row>
    <row r="264" spans="1:11" x14ac:dyDescent="0.25">
      <c r="A264" s="38"/>
      <c r="B264" s="49"/>
      <c r="C264" s="49"/>
      <c r="D264" s="49"/>
      <c r="E264" s="49"/>
      <c r="F264" s="49"/>
      <c r="G264" s="93" t="s">
        <v>80</v>
      </c>
      <c r="H264" s="70">
        <f>+H263/E240</f>
        <v>431.59438508275719</v>
      </c>
      <c r="I264" s="1"/>
      <c r="J264" s="1"/>
      <c r="K264" s="1"/>
    </row>
    <row r="265" spans="1:11" x14ac:dyDescent="0.25">
      <c r="A265" s="38"/>
      <c r="B265" s="49"/>
      <c r="C265" s="49"/>
      <c r="D265" s="49"/>
      <c r="E265" s="49"/>
      <c r="F265" s="49"/>
      <c r="G265" s="93" t="s">
        <v>59</v>
      </c>
      <c r="H265" s="70">
        <f>+H263/D239</f>
        <v>410014.66582861933</v>
      </c>
      <c r="I265" s="1"/>
      <c r="J265" s="1"/>
      <c r="K265" s="2"/>
    </row>
    <row r="266" spans="1:11" x14ac:dyDescent="0.25">
      <c r="A266" s="97"/>
      <c r="B266" s="74"/>
      <c r="C266" s="74"/>
      <c r="D266" s="74"/>
      <c r="E266" s="74"/>
      <c r="F266" s="74"/>
      <c r="G266" s="98"/>
      <c r="H266" s="77"/>
      <c r="I266" s="1"/>
      <c r="J266" s="1"/>
      <c r="K266" s="1"/>
    </row>
    <row r="267" spans="1:11" x14ac:dyDescent="0.25">
      <c r="A267" s="38"/>
      <c r="B267" s="49"/>
      <c r="C267" s="49"/>
      <c r="D267" s="49"/>
      <c r="E267" s="49"/>
      <c r="F267" s="94"/>
      <c r="G267" s="49"/>
      <c r="H267" s="70"/>
      <c r="I267" s="1"/>
      <c r="J267" s="1"/>
      <c r="K267" s="1"/>
    </row>
    <row r="268" spans="1:11" ht="19.5" thickBot="1" x14ac:dyDescent="0.35">
      <c r="A268" s="79" t="s">
        <v>81</v>
      </c>
      <c r="B268" s="49"/>
      <c r="C268" s="49"/>
      <c r="D268" s="49"/>
      <c r="E268" s="49"/>
      <c r="F268" s="49"/>
      <c r="G268" s="49"/>
      <c r="H268" s="70"/>
      <c r="I268" s="1"/>
      <c r="J268" s="1"/>
      <c r="K268" s="1"/>
    </row>
    <row r="269" spans="1:11" ht="19.5" thickBot="1" x14ac:dyDescent="0.35">
      <c r="A269" s="79"/>
      <c r="B269" s="49" t="s">
        <v>82</v>
      </c>
      <c r="C269" s="49"/>
      <c r="D269" s="68">
        <f>+H269/D239</f>
        <v>17443.750906541605</v>
      </c>
      <c r="E269" s="49" t="s">
        <v>59</v>
      </c>
      <c r="F269" s="73">
        <v>70</v>
      </c>
      <c r="G269" s="49" t="s">
        <v>83</v>
      </c>
      <c r="H269" s="99">
        <f>F269*H215</f>
        <v>12269750.76923077</v>
      </c>
      <c r="I269" s="1"/>
      <c r="J269" s="1"/>
      <c r="K269" s="1"/>
    </row>
    <row r="270" spans="1:11" ht="12.75" customHeight="1" x14ac:dyDescent="0.3">
      <c r="A270" s="79"/>
      <c r="B270" s="49" t="s">
        <v>84</v>
      </c>
      <c r="C270" s="49"/>
      <c r="D270" s="68">
        <v>300000</v>
      </c>
      <c r="E270" s="49" t="s">
        <v>59</v>
      </c>
      <c r="F270" s="67">
        <f>H225</f>
        <v>0</v>
      </c>
      <c r="G270" s="49" t="s">
        <v>35</v>
      </c>
      <c r="H270" s="70">
        <f>+F270*D270</f>
        <v>0</v>
      </c>
      <c r="I270" s="1"/>
      <c r="J270" s="1"/>
      <c r="K270" s="1"/>
    </row>
    <row r="271" spans="1:11" x14ac:dyDescent="0.25">
      <c r="A271" s="38"/>
      <c r="B271" s="49" t="s">
        <v>57</v>
      </c>
      <c r="C271" s="49"/>
      <c r="D271" s="49"/>
      <c r="E271" s="49"/>
      <c r="F271" s="73">
        <f>280*0.92</f>
        <v>257.60000000000002</v>
      </c>
      <c r="G271" s="49" t="s">
        <v>85</v>
      </c>
      <c r="H271" s="70">
        <f>+F271*E240</f>
        <v>172133472.00000003</v>
      </c>
      <c r="I271" s="1"/>
      <c r="J271" s="1"/>
      <c r="K271" s="1"/>
    </row>
    <row r="272" spans="1:11" x14ac:dyDescent="0.25">
      <c r="A272" s="38"/>
      <c r="B272" s="49" t="s">
        <v>46</v>
      </c>
      <c r="C272" s="49"/>
      <c r="D272" s="49"/>
      <c r="E272" s="49"/>
      <c r="F272" s="73">
        <v>280</v>
      </c>
      <c r="G272" s="49" t="s">
        <v>85</v>
      </c>
      <c r="H272" s="70">
        <f>F272*(E241)</f>
        <v>0</v>
      </c>
      <c r="I272" s="1"/>
      <c r="J272" s="1"/>
      <c r="K272" s="1"/>
    </row>
    <row r="273" spans="1:11" x14ac:dyDescent="0.25">
      <c r="A273" s="38"/>
      <c r="B273" s="49" t="s">
        <v>86</v>
      </c>
      <c r="C273" s="49" t="s">
        <v>87</v>
      </c>
      <c r="D273" s="67">
        <f>+D238</f>
        <v>527.54210526315796</v>
      </c>
      <c r="E273" s="32" t="s">
        <v>88</v>
      </c>
      <c r="F273" s="68">
        <v>35000</v>
      </c>
      <c r="G273" s="49" t="s">
        <v>89</v>
      </c>
      <c r="H273" s="70">
        <f>+F273*D238</f>
        <v>18463973.684210528</v>
      </c>
      <c r="I273" s="1"/>
      <c r="J273" s="1"/>
    </row>
    <row r="274" spans="1:11" x14ac:dyDescent="0.25">
      <c r="A274" s="38"/>
      <c r="B274" s="74" t="s">
        <v>90</v>
      </c>
      <c r="C274" s="74"/>
      <c r="D274" s="74"/>
      <c r="E274" s="74"/>
      <c r="F274" s="87">
        <v>0.2</v>
      </c>
      <c r="G274" s="74" t="s">
        <v>91</v>
      </c>
      <c r="H274" s="77">
        <f>ROUND((H271+H272)*F274,-5)</f>
        <v>34400000</v>
      </c>
      <c r="I274" s="1"/>
      <c r="J274" s="1"/>
    </row>
    <row r="275" spans="1:11" x14ac:dyDescent="0.25">
      <c r="A275" s="38"/>
      <c r="B275" s="49"/>
      <c r="C275" s="49"/>
      <c r="D275" s="49"/>
      <c r="E275" s="49"/>
      <c r="F275" s="49"/>
      <c r="G275" s="93" t="s">
        <v>78</v>
      </c>
      <c r="H275" s="70">
        <f>ROUND(SUM(H269:H274),-5)</f>
        <v>237300000</v>
      </c>
      <c r="I275" s="1"/>
      <c r="J275" s="1"/>
    </row>
    <row r="276" spans="1:11" x14ac:dyDescent="0.25">
      <c r="A276" s="38"/>
      <c r="B276" s="49"/>
      <c r="C276" s="49"/>
      <c r="D276" s="49"/>
      <c r="E276" s="49"/>
      <c r="F276" s="49"/>
      <c r="G276" s="93" t="s">
        <v>80</v>
      </c>
      <c r="H276" s="70">
        <f>+H275/(E240+E241)</f>
        <v>355.12256442489002</v>
      </c>
      <c r="I276" s="1"/>
      <c r="J276" s="1"/>
    </row>
    <row r="277" spans="1:11" x14ac:dyDescent="0.25">
      <c r="A277" s="38"/>
      <c r="B277" s="49"/>
      <c r="C277" s="49"/>
      <c r="D277" s="49"/>
      <c r="E277" s="49"/>
      <c r="F277" s="49"/>
      <c r="G277" s="93" t="s">
        <v>59</v>
      </c>
      <c r="H277" s="70">
        <f>+H275/H218</f>
        <v>337366.43620364548</v>
      </c>
      <c r="I277" s="1"/>
      <c r="J277" s="1">
        <v>486340.6795224977</v>
      </c>
    </row>
    <row r="278" spans="1:11" x14ac:dyDescent="0.25">
      <c r="A278" s="38"/>
      <c r="B278" s="49"/>
      <c r="C278" s="49"/>
      <c r="D278" s="49"/>
      <c r="E278" s="49"/>
      <c r="F278" s="49"/>
      <c r="G278" s="49"/>
      <c r="H278" s="70"/>
      <c r="I278" s="1"/>
      <c r="J278" s="1"/>
    </row>
    <row r="279" spans="1:11" ht="18.75" x14ac:dyDescent="0.3">
      <c r="A279" s="100" t="s">
        <v>92</v>
      </c>
      <c r="B279" s="49"/>
      <c r="C279" s="49"/>
      <c r="D279" s="49"/>
      <c r="E279" s="93" t="s">
        <v>93</v>
      </c>
      <c r="F279" s="80">
        <f>+H259/H275</f>
        <v>6.0770723221278376E-2</v>
      </c>
      <c r="G279" s="93" t="s">
        <v>94</v>
      </c>
      <c r="H279" s="70">
        <f>+H263-H275</f>
        <v>51100000</v>
      </c>
      <c r="I279" s="1"/>
      <c r="J279" s="1"/>
    </row>
    <row r="280" spans="1:11" ht="15.75" thickBot="1" x14ac:dyDescent="0.3">
      <c r="A280" s="101"/>
      <c r="B280" s="102"/>
      <c r="C280" s="102"/>
      <c r="D280" s="103"/>
      <c r="E280" s="103"/>
      <c r="F280" s="103"/>
      <c r="G280" s="102"/>
      <c r="H280" s="104"/>
      <c r="I280" s="1"/>
      <c r="J280" s="1"/>
    </row>
    <row r="281" spans="1:11" ht="15.75" thickBo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</row>
    <row r="282" spans="1:11" ht="18.75" x14ac:dyDescent="0.3">
      <c r="A282" s="3" t="s">
        <v>7</v>
      </c>
      <c r="B282" s="4"/>
      <c r="C282" s="5" t="s">
        <v>8</v>
      </c>
      <c r="D282" s="6" t="s">
        <v>9</v>
      </c>
      <c r="E282" s="7"/>
      <c r="F282" s="7"/>
      <c r="G282" s="8" t="s">
        <v>10</v>
      </c>
      <c r="H282" s="25" t="s">
        <v>11</v>
      </c>
      <c r="I282" s="1"/>
      <c r="J282" s="1"/>
    </row>
    <row r="283" spans="1:11" ht="18.75" x14ac:dyDescent="0.3">
      <c r="A283" s="26" t="s">
        <v>12</v>
      </c>
      <c r="B283" s="27"/>
      <c r="C283" s="11"/>
      <c r="D283" s="28" t="s">
        <v>1</v>
      </c>
      <c r="E283" s="12" t="s">
        <v>13</v>
      </c>
      <c r="F283" s="29"/>
      <c r="G283" s="30" t="s">
        <v>14</v>
      </c>
      <c r="H283" s="31">
        <v>50375</v>
      </c>
      <c r="I283" s="1"/>
      <c r="J283" s="1"/>
    </row>
    <row r="284" spans="1:11" ht="18.75" x14ac:dyDescent="0.3">
      <c r="A284" s="26" t="s">
        <v>104</v>
      </c>
      <c r="B284" s="27"/>
      <c r="C284" s="32"/>
      <c r="D284" s="11" t="s">
        <v>16</v>
      </c>
      <c r="E284" s="12"/>
      <c r="F284" s="33"/>
      <c r="G284" s="14" t="s">
        <v>4</v>
      </c>
      <c r="H284" s="111">
        <f>H285/H283</f>
        <v>4.7592059553349877</v>
      </c>
      <c r="I284" s="148" t="s">
        <v>138</v>
      </c>
      <c r="J284" s="146"/>
      <c r="K284" s="144" t="s">
        <v>139</v>
      </c>
    </row>
    <row r="285" spans="1:11" ht="19.5" thickBot="1" x14ac:dyDescent="0.35">
      <c r="A285" s="34" t="s">
        <v>17</v>
      </c>
      <c r="B285" s="35"/>
      <c r="C285" s="36"/>
      <c r="D285" s="11" t="s">
        <v>18</v>
      </c>
      <c r="E285" s="17"/>
      <c r="F285" s="17"/>
      <c r="G285" s="37" t="s">
        <v>19</v>
      </c>
      <c r="H285" s="31">
        <v>239745</v>
      </c>
      <c r="I285" s="145">
        <f>H283*2</f>
        <v>100750</v>
      </c>
      <c r="J285" s="146" t="s">
        <v>137</v>
      </c>
      <c r="K285" s="144">
        <f>I285/G286</f>
        <v>106.05263157894737</v>
      </c>
    </row>
    <row r="286" spans="1:11" ht="18.75" x14ac:dyDescent="0.3">
      <c r="A286" s="38"/>
      <c r="B286" s="32"/>
      <c r="C286" s="36"/>
      <c r="D286" s="11" t="s">
        <v>5</v>
      </c>
      <c r="E286" s="17"/>
      <c r="F286" s="17"/>
      <c r="G286" s="18">
        <f>G218</f>
        <v>950</v>
      </c>
      <c r="H286" s="39">
        <f>H285/G286</f>
        <v>252.36315789473684</v>
      </c>
      <c r="I286" s="145">
        <f>H285-I285</f>
        <v>138995</v>
      </c>
      <c r="J286" s="147" t="s">
        <v>140</v>
      </c>
      <c r="K286" s="144">
        <f>I286/G286</f>
        <v>146.31052631578947</v>
      </c>
    </row>
    <row r="287" spans="1:11" ht="18.75" x14ac:dyDescent="0.3">
      <c r="A287" s="38"/>
      <c r="B287" s="32"/>
      <c r="C287" s="1"/>
      <c r="D287" s="11" t="s">
        <v>20</v>
      </c>
      <c r="E287" s="17"/>
      <c r="F287" s="17"/>
      <c r="G287" s="41"/>
      <c r="H287" s="42">
        <v>0.75</v>
      </c>
      <c r="I287" s="143"/>
      <c r="J287" s="143"/>
      <c r="K287" s="144">
        <f>SUM(K285:K286)</f>
        <v>252.36315789473684</v>
      </c>
    </row>
    <row r="288" spans="1:11" ht="18.75" x14ac:dyDescent="0.3">
      <c r="A288" s="38"/>
      <c r="B288" s="32"/>
      <c r="C288" s="21" t="s">
        <v>21</v>
      </c>
      <c r="D288" s="21" t="s">
        <v>101</v>
      </c>
      <c r="E288" s="22"/>
      <c r="F288" s="22"/>
      <c r="G288" s="21"/>
      <c r="H288" s="23">
        <f>K285*0.13</f>
        <v>13.786842105263158</v>
      </c>
      <c r="I288" s="1"/>
    </row>
    <row r="289" spans="1:10" ht="18.75" x14ac:dyDescent="0.3">
      <c r="A289" s="38"/>
      <c r="B289" s="32"/>
      <c r="C289" s="45"/>
      <c r="D289" s="21" t="s">
        <v>102</v>
      </c>
      <c r="E289" s="22"/>
      <c r="F289" s="22"/>
      <c r="G289" s="21"/>
      <c r="H289" s="141">
        <v>42</v>
      </c>
      <c r="I289" s="1"/>
      <c r="J289" s="44">
        <f>K285*0.13+K286*0.29</f>
        <v>56.216894736842107</v>
      </c>
    </row>
    <row r="290" spans="1:10" ht="18.75" x14ac:dyDescent="0.3">
      <c r="A290" s="38"/>
      <c r="B290" s="32"/>
      <c r="C290" s="45"/>
      <c r="D290" s="21" t="s">
        <v>23</v>
      </c>
      <c r="E290" s="22"/>
      <c r="F290" s="22"/>
      <c r="G290" s="21"/>
      <c r="H290" s="141">
        <f>SUM(H288:H289)</f>
        <v>55.786842105263162</v>
      </c>
      <c r="I290" s="1"/>
      <c r="J290" s="140"/>
    </row>
    <row r="291" spans="1:10" ht="18.75" x14ac:dyDescent="0.3">
      <c r="A291" s="38"/>
      <c r="B291" s="32"/>
      <c r="C291" s="1"/>
      <c r="D291" s="21" t="s">
        <v>24</v>
      </c>
      <c r="E291" s="22"/>
      <c r="F291" s="22"/>
      <c r="G291" s="21"/>
      <c r="H291" s="46">
        <f>(H290+H293)/H286</f>
        <v>0.2210577905691464</v>
      </c>
      <c r="I291" s="1"/>
    </row>
    <row r="292" spans="1:10" ht="18.75" x14ac:dyDescent="0.3">
      <c r="A292" s="38"/>
      <c r="B292" s="32"/>
      <c r="C292" s="45"/>
      <c r="D292" s="21" t="s">
        <v>17</v>
      </c>
      <c r="E292" s="22"/>
      <c r="F292" s="22"/>
      <c r="G292" s="21"/>
      <c r="H292" s="47"/>
      <c r="I292" s="1"/>
    </row>
    <row r="293" spans="1:10" ht="18.75" x14ac:dyDescent="0.3">
      <c r="A293" s="38"/>
      <c r="B293" s="32"/>
      <c r="C293" s="36"/>
      <c r="D293" s="21" t="s">
        <v>98</v>
      </c>
      <c r="E293" s="22"/>
      <c r="F293" s="22"/>
      <c r="G293" s="21"/>
      <c r="H293" s="23">
        <v>0</v>
      </c>
      <c r="I293" s="110">
        <f>J289-H290</f>
        <v>0.43005263157894547</v>
      </c>
      <c r="J293" s="150"/>
    </row>
    <row r="294" spans="1:10" ht="18.75" x14ac:dyDescent="0.3">
      <c r="A294" s="38"/>
      <c r="B294" s="32"/>
      <c r="C294" s="36"/>
      <c r="D294" s="21" t="s">
        <v>27</v>
      </c>
      <c r="E294" s="22"/>
      <c r="F294" s="22"/>
      <c r="G294" s="21"/>
      <c r="H294" s="48">
        <v>300000</v>
      </c>
      <c r="I294" s="1"/>
    </row>
    <row r="295" spans="1:10" ht="19.5" thickBot="1" x14ac:dyDescent="0.35">
      <c r="A295" s="38"/>
      <c r="B295" s="32"/>
      <c r="C295" s="49"/>
      <c r="D295" s="45"/>
      <c r="E295" s="45"/>
      <c r="F295" s="49"/>
      <c r="G295" s="45"/>
      <c r="H295" s="50"/>
      <c r="I295" s="1"/>
    </row>
    <row r="296" spans="1:10" ht="19.5" thickBot="1" x14ac:dyDescent="0.35">
      <c r="A296" s="38"/>
      <c r="B296" s="32"/>
      <c r="C296" s="51" t="s">
        <v>28</v>
      </c>
      <c r="D296" s="51" t="s">
        <v>29</v>
      </c>
      <c r="E296" s="52"/>
      <c r="F296" s="53">
        <v>6.0999999999999999E-2</v>
      </c>
      <c r="G296" s="54" t="s">
        <v>30</v>
      </c>
      <c r="H296" s="55">
        <f>+F347</f>
        <v>6.0539937951265332E-2</v>
      </c>
      <c r="I296" s="1"/>
    </row>
    <row r="297" spans="1:10" ht="18.75" x14ac:dyDescent="0.3">
      <c r="A297" s="38"/>
      <c r="B297" s="32"/>
      <c r="C297" s="36"/>
      <c r="D297" s="51" t="s">
        <v>31</v>
      </c>
      <c r="E297" s="52"/>
      <c r="F297" s="56">
        <f>F229</f>
        <v>3.65</v>
      </c>
      <c r="G297" s="51" t="s">
        <v>32</v>
      </c>
      <c r="H297" s="57"/>
      <c r="I297" s="1"/>
    </row>
    <row r="298" spans="1:10" ht="19.5" thickBot="1" x14ac:dyDescent="0.35">
      <c r="A298" s="38"/>
      <c r="B298" s="32"/>
      <c r="C298" s="32"/>
      <c r="D298" s="36"/>
      <c r="E298" s="45"/>
      <c r="F298" s="49"/>
      <c r="G298" s="45"/>
      <c r="H298" s="58"/>
      <c r="I298" s="1"/>
    </row>
    <row r="299" spans="1:10" ht="18.75" x14ac:dyDescent="0.3">
      <c r="A299" s="59" t="s">
        <v>33</v>
      </c>
      <c r="B299" s="60"/>
      <c r="C299" s="60"/>
      <c r="D299" s="60"/>
      <c r="E299" s="60"/>
      <c r="F299" s="60"/>
      <c r="G299" s="60"/>
      <c r="H299" s="61"/>
      <c r="I299" s="1"/>
    </row>
    <row r="300" spans="1:10" ht="30" x14ac:dyDescent="0.25">
      <c r="A300" s="62" t="s">
        <v>34</v>
      </c>
      <c r="B300" s="63"/>
      <c r="C300" s="63"/>
      <c r="D300" s="64" t="s">
        <v>35</v>
      </c>
      <c r="E300" s="64" t="s">
        <v>36</v>
      </c>
      <c r="F300" s="64" t="s">
        <v>37</v>
      </c>
      <c r="G300" s="64" t="s">
        <v>38</v>
      </c>
      <c r="H300" s="65" t="s">
        <v>39</v>
      </c>
      <c r="I300" s="1"/>
    </row>
    <row r="301" spans="1:10" x14ac:dyDescent="0.25">
      <c r="A301" s="38"/>
      <c r="B301" s="49" t="s">
        <v>40</v>
      </c>
      <c r="C301" s="49" t="s">
        <v>41</v>
      </c>
      <c r="D301" s="66">
        <f>ROUND(H286-D302-D303,0)</f>
        <v>197</v>
      </c>
      <c r="E301" s="67">
        <v>810</v>
      </c>
      <c r="F301" s="68">
        <f>+G301*E301</f>
        <v>2956.5</v>
      </c>
      <c r="G301" s="69">
        <f>F297</f>
        <v>3.65</v>
      </c>
      <c r="H301" s="70">
        <f>+D301*F301*12</f>
        <v>6989166</v>
      </c>
      <c r="I301" s="1"/>
    </row>
    <row r="302" spans="1:10" x14ac:dyDescent="0.25">
      <c r="A302" s="38"/>
      <c r="B302" s="71" t="s">
        <v>42</v>
      </c>
      <c r="C302" s="49" t="s">
        <v>43</v>
      </c>
      <c r="D302" s="66">
        <f>H288</f>
        <v>13.786842105263158</v>
      </c>
      <c r="E302" s="67">
        <v>810</v>
      </c>
      <c r="F302" s="68">
        <v>1098.26</v>
      </c>
      <c r="G302" s="72">
        <f>IF(H302=0,0,+H302/(E302*D302)/12)</f>
        <v>1.3558765432098765</v>
      </c>
      <c r="H302" s="70">
        <f>+F302*D302*12</f>
        <v>181698.44652631579</v>
      </c>
      <c r="I302" s="1"/>
    </row>
    <row r="303" spans="1:10" x14ac:dyDescent="0.25">
      <c r="A303" s="38"/>
      <c r="B303" s="71" t="s">
        <v>44</v>
      </c>
      <c r="C303" s="49" t="s">
        <v>45</v>
      </c>
      <c r="D303" s="66">
        <f>H289</f>
        <v>42</v>
      </c>
      <c r="E303" s="67">
        <v>810</v>
      </c>
      <c r="F303" s="68">
        <v>784.93925925925919</v>
      </c>
      <c r="G303" s="73">
        <f>IF(H303=0,0,+H303/(E303*D303)/12)</f>
        <v>0.96906081390031995</v>
      </c>
      <c r="H303" s="70">
        <f>+F303*D303*12</f>
        <v>395609.38666666666</v>
      </c>
      <c r="I303" s="1"/>
    </row>
    <row r="304" spans="1:10" x14ac:dyDescent="0.25">
      <c r="A304" s="38"/>
      <c r="B304" s="49" t="s">
        <v>46</v>
      </c>
      <c r="C304" s="49" t="s">
        <v>47</v>
      </c>
      <c r="D304" s="67">
        <v>0</v>
      </c>
      <c r="E304" s="67">
        <v>0</v>
      </c>
      <c r="F304" s="73">
        <v>0</v>
      </c>
      <c r="G304" s="73">
        <v>0</v>
      </c>
      <c r="H304" s="70">
        <f>+G304*E304*D304</f>
        <v>0</v>
      </c>
      <c r="I304" s="1"/>
    </row>
    <row r="305" spans="1:8" x14ac:dyDescent="0.25">
      <c r="A305" s="38"/>
      <c r="B305" s="49"/>
      <c r="C305" s="49" t="s">
        <v>48</v>
      </c>
      <c r="D305" s="67">
        <v>0</v>
      </c>
      <c r="E305" s="67">
        <v>5000</v>
      </c>
      <c r="F305" s="73">
        <f>+G305/12</f>
        <v>0</v>
      </c>
      <c r="G305" s="73">
        <v>0</v>
      </c>
      <c r="H305" s="70">
        <f>+G305*E305*D305</f>
        <v>0</v>
      </c>
    </row>
    <row r="306" spans="1:8" x14ac:dyDescent="0.25">
      <c r="A306" s="38"/>
      <c r="B306" s="74" t="s">
        <v>49</v>
      </c>
      <c r="C306" s="74"/>
      <c r="D306" s="75">
        <f>+H286*H287</f>
        <v>189.27236842105265</v>
      </c>
      <c r="E306" s="76"/>
      <c r="F306" s="76"/>
      <c r="G306" s="76">
        <v>250</v>
      </c>
      <c r="H306" s="77">
        <f>+D306*G306*12</f>
        <v>567817.10526315798</v>
      </c>
    </row>
    <row r="307" spans="1:8" x14ac:dyDescent="0.25">
      <c r="A307" s="38"/>
      <c r="B307" s="49" t="s">
        <v>50</v>
      </c>
      <c r="C307" s="49"/>
      <c r="D307" s="66">
        <f>+H286</f>
        <v>252.36315789473684</v>
      </c>
      <c r="E307" s="67">
        <f>(E301*D301)+(E302*D302)</f>
        <v>170737.34210526315</v>
      </c>
      <c r="F307" s="73"/>
      <c r="G307" s="68"/>
      <c r="H307" s="70">
        <f>SUM(H301:H306)</f>
        <v>8134290.9384561405</v>
      </c>
    </row>
    <row r="308" spans="1:8" x14ac:dyDescent="0.25">
      <c r="A308" s="38"/>
      <c r="B308" s="49" t="s">
        <v>51</v>
      </c>
      <c r="C308" s="49"/>
      <c r="D308" s="78">
        <v>0.85</v>
      </c>
      <c r="E308" s="67">
        <f>+H285</f>
        <v>239745</v>
      </c>
      <c r="F308" s="68"/>
      <c r="G308" s="68"/>
      <c r="H308" s="70"/>
    </row>
    <row r="309" spans="1:8" x14ac:dyDescent="0.25">
      <c r="A309" s="38"/>
      <c r="B309" s="49" t="s">
        <v>52</v>
      </c>
      <c r="C309" s="49"/>
      <c r="D309" s="78">
        <v>1</v>
      </c>
      <c r="E309" s="67">
        <f>(E304*D304)+(D305*E305)</f>
        <v>0</v>
      </c>
      <c r="F309" s="68"/>
      <c r="G309" s="68"/>
      <c r="H309" s="70"/>
    </row>
    <row r="310" spans="1:8" x14ac:dyDescent="0.25">
      <c r="A310" s="38"/>
      <c r="B310" s="49"/>
      <c r="C310" s="49"/>
      <c r="D310" s="67"/>
      <c r="E310" s="68"/>
      <c r="F310" s="68"/>
      <c r="G310" s="68"/>
      <c r="H310" s="70"/>
    </row>
    <row r="311" spans="1:8" ht="18.75" x14ac:dyDescent="0.3">
      <c r="A311" s="79" t="s">
        <v>53</v>
      </c>
      <c r="B311" s="49"/>
      <c r="C311" s="49" t="str">
        <f>+C301</f>
        <v>Market Rate</v>
      </c>
      <c r="D311" s="67"/>
      <c r="E311" s="68"/>
      <c r="F311" s="68"/>
      <c r="G311" s="80">
        <v>0.05</v>
      </c>
      <c r="H311" s="70">
        <f>-G311*H301</f>
        <v>-349458.30000000005</v>
      </c>
    </row>
    <row r="312" spans="1:8" ht="12.75" customHeight="1" x14ac:dyDescent="0.3">
      <c r="A312" s="79"/>
      <c r="B312" s="49"/>
      <c r="C312" s="49" t="str">
        <f>+C302</f>
        <v>Low Income</v>
      </c>
      <c r="D312" s="67"/>
      <c r="E312" s="68"/>
      <c r="F312" s="68"/>
      <c r="G312" s="80">
        <v>0</v>
      </c>
      <c r="H312" s="70">
        <f>-G312*H302</f>
        <v>0</v>
      </c>
    </row>
    <row r="313" spans="1:8" ht="12.75" customHeight="1" x14ac:dyDescent="0.3">
      <c r="A313" s="79"/>
      <c r="B313" s="49"/>
      <c r="C313" s="49" t="str">
        <f>+C304</f>
        <v>Market Rate Retail</v>
      </c>
      <c r="D313" s="67"/>
      <c r="E313" s="68"/>
      <c r="F313" s="68"/>
      <c r="G313" s="80">
        <v>0.1</v>
      </c>
      <c r="H313" s="70">
        <f>-G313*H304</f>
        <v>0</v>
      </c>
    </row>
    <row r="314" spans="1:8" x14ac:dyDescent="0.25">
      <c r="A314" s="38"/>
      <c r="B314" s="74"/>
      <c r="C314" s="74" t="str">
        <f>+C305</f>
        <v>Affordable Innovation</v>
      </c>
      <c r="D314" s="75"/>
      <c r="E314" s="76"/>
      <c r="F314" s="76"/>
      <c r="G314" s="81">
        <v>0.2</v>
      </c>
      <c r="H314" s="77">
        <f>-G314*H305</f>
        <v>0</v>
      </c>
    </row>
    <row r="315" spans="1:8" x14ac:dyDescent="0.25">
      <c r="A315" s="38"/>
      <c r="B315" s="49" t="s">
        <v>54</v>
      </c>
      <c r="C315" s="49"/>
      <c r="D315" s="67"/>
      <c r="E315" s="68"/>
      <c r="F315" s="68"/>
      <c r="G315" s="80"/>
      <c r="H315" s="70">
        <f>SUM(H311:H314)</f>
        <v>-349458.30000000005</v>
      </c>
    </row>
    <row r="316" spans="1:8" s="83" customFormat="1" ht="18.75" x14ac:dyDescent="0.3">
      <c r="A316" s="82"/>
      <c r="C316" s="45"/>
      <c r="D316" s="49"/>
      <c r="E316" s="49"/>
      <c r="F316" s="84"/>
      <c r="G316" s="85"/>
      <c r="H316" s="70"/>
    </row>
    <row r="317" spans="1:8" ht="18.75" x14ac:dyDescent="0.3">
      <c r="A317" s="79" t="s">
        <v>55</v>
      </c>
      <c r="B317" s="49"/>
      <c r="C317" s="49"/>
      <c r="D317" s="67"/>
      <c r="E317" s="68"/>
      <c r="F317" s="68"/>
      <c r="G317" s="68"/>
      <c r="H317" s="70">
        <f>+H307+H315</f>
        <v>7784832.6384561406</v>
      </c>
    </row>
    <row r="318" spans="1:8" x14ac:dyDescent="0.25">
      <c r="A318" s="38"/>
      <c r="B318" s="49"/>
      <c r="C318" s="49"/>
      <c r="D318" s="67"/>
      <c r="E318" s="68"/>
      <c r="F318" s="68"/>
      <c r="G318" s="68"/>
      <c r="H318" s="70"/>
    </row>
    <row r="319" spans="1:8" ht="18.75" x14ac:dyDescent="0.3">
      <c r="A319" s="79" t="s">
        <v>56</v>
      </c>
      <c r="B319" s="49"/>
      <c r="C319" s="49"/>
      <c r="D319" s="49"/>
      <c r="E319" s="49"/>
      <c r="F319" s="49"/>
      <c r="G319" s="49"/>
      <c r="H319" s="70"/>
    </row>
    <row r="320" spans="1:8" x14ac:dyDescent="0.25">
      <c r="A320" s="38"/>
      <c r="B320" s="49" t="s">
        <v>57</v>
      </c>
      <c r="C320" s="49" t="s">
        <v>58</v>
      </c>
      <c r="D320" s="49"/>
      <c r="E320" s="49"/>
      <c r="F320" s="68">
        <v>7500</v>
      </c>
      <c r="G320" s="68" t="s">
        <v>59</v>
      </c>
      <c r="H320" s="70">
        <f>-F320*D307</f>
        <v>-1892723.6842105263</v>
      </c>
    </row>
    <row r="321" spans="1:11" x14ac:dyDescent="0.25">
      <c r="A321" s="38"/>
      <c r="B321" s="49"/>
      <c r="C321" s="49" t="s">
        <v>60</v>
      </c>
      <c r="D321" s="78">
        <v>7.0000000000000007E-2</v>
      </c>
      <c r="E321" s="49" t="s">
        <v>61</v>
      </c>
      <c r="F321" s="68">
        <f>ROUND(-H321/D307,-2)</f>
        <v>2100</v>
      </c>
      <c r="G321" s="68" t="s">
        <v>59</v>
      </c>
      <c r="H321" s="70">
        <f>(H301+H302+H306)*-D321</f>
        <v>-541707.70862526319</v>
      </c>
      <c r="I321" s="1"/>
      <c r="J321" s="1"/>
      <c r="K321" s="1"/>
    </row>
    <row r="322" spans="1:11" x14ac:dyDescent="0.25">
      <c r="A322" s="38"/>
      <c r="B322" s="49"/>
      <c r="C322" s="49" t="s">
        <v>62</v>
      </c>
      <c r="D322" s="80">
        <v>2.5000000000000001E-2</v>
      </c>
      <c r="E322" s="49" t="s">
        <v>63</v>
      </c>
      <c r="F322" s="68">
        <f>-H322/D307</f>
        <v>728.29048577551146</v>
      </c>
      <c r="G322" s="68" t="s">
        <v>59</v>
      </c>
      <c r="H322" s="70">
        <f>-D322*((H301+H302+H306)*(1-G311))</f>
        <v>-183793.68685500001</v>
      </c>
      <c r="I322" s="1"/>
      <c r="J322" s="1"/>
      <c r="K322" s="1"/>
    </row>
    <row r="323" spans="1:11" x14ac:dyDescent="0.25">
      <c r="A323" s="38"/>
      <c r="B323" s="49"/>
      <c r="C323" s="49" t="s">
        <v>64</v>
      </c>
      <c r="D323" s="49"/>
      <c r="E323" s="49"/>
      <c r="F323" s="68">
        <v>250</v>
      </c>
      <c r="G323" s="68" t="s">
        <v>59</v>
      </c>
      <c r="H323" s="70">
        <f>-F323*D307</f>
        <v>-63090.789473684214</v>
      </c>
      <c r="I323" s="1"/>
      <c r="J323" s="1"/>
      <c r="K323" s="1"/>
    </row>
    <row r="324" spans="1:11" x14ac:dyDescent="0.25">
      <c r="A324" s="38"/>
      <c r="B324" s="74" t="s">
        <v>46</v>
      </c>
      <c r="C324" s="86" t="s">
        <v>65</v>
      </c>
      <c r="D324" s="74"/>
      <c r="E324" s="74"/>
      <c r="F324" s="87">
        <v>0.02</v>
      </c>
      <c r="G324" s="74" t="s">
        <v>66</v>
      </c>
      <c r="H324" s="77">
        <f>-F324*(H304+H305)</f>
        <v>0</v>
      </c>
      <c r="I324" s="1"/>
      <c r="J324" s="1"/>
      <c r="K324" s="1"/>
    </row>
    <row r="325" spans="1:11" x14ac:dyDescent="0.25">
      <c r="A325" s="38"/>
      <c r="B325" s="49" t="s">
        <v>67</v>
      </c>
      <c r="C325" s="49"/>
      <c r="D325" s="78">
        <f>-H325/H317</f>
        <v>0.34442819694274407</v>
      </c>
      <c r="E325" s="68" t="s">
        <v>68</v>
      </c>
      <c r="F325" s="68">
        <f>-H325/D307</f>
        <v>10624.830864903333</v>
      </c>
      <c r="G325" s="68" t="s">
        <v>59</v>
      </c>
      <c r="H325" s="70">
        <f>SUM(H320:H324)</f>
        <v>-2681315.8691644734</v>
      </c>
      <c r="I325" s="1"/>
      <c r="J325" s="1"/>
      <c r="K325" s="1"/>
    </row>
    <row r="326" spans="1:11" ht="15.75" thickBot="1" x14ac:dyDescent="0.3">
      <c r="A326" s="38"/>
      <c r="B326" s="49"/>
      <c r="C326" s="49"/>
      <c r="D326" s="49"/>
      <c r="E326" s="32"/>
      <c r="F326" s="49"/>
      <c r="G326" s="49"/>
      <c r="H326" s="70"/>
      <c r="I326" s="1"/>
      <c r="J326" s="1"/>
      <c r="K326" s="1"/>
    </row>
    <row r="327" spans="1:11" ht="18.75" x14ac:dyDescent="0.3">
      <c r="A327" s="79" t="s">
        <v>69</v>
      </c>
      <c r="B327" s="49"/>
      <c r="C327" s="49"/>
      <c r="D327" s="78">
        <f>+H327/H317</f>
        <v>0.65557180305725593</v>
      </c>
      <c r="E327" s="68" t="s">
        <v>68</v>
      </c>
      <c r="F327" s="68">
        <f>+H327/D307</f>
        <v>20222.907384208571</v>
      </c>
      <c r="G327" s="68" t="s">
        <v>59</v>
      </c>
      <c r="H327" s="70">
        <f>+H317+H325</f>
        <v>5103516.7692916673</v>
      </c>
      <c r="I327" s="1"/>
      <c r="J327" s="88">
        <f>+H327/1.25</f>
        <v>4082813.4154333337</v>
      </c>
      <c r="K327" s="89" t="s">
        <v>70</v>
      </c>
    </row>
    <row r="328" spans="1:11" x14ac:dyDescent="0.25">
      <c r="A328" s="38"/>
      <c r="B328" s="49"/>
      <c r="C328" s="49"/>
      <c r="D328" s="49"/>
      <c r="E328" s="49"/>
      <c r="F328" s="49"/>
      <c r="G328" s="49"/>
      <c r="H328" s="70"/>
      <c r="I328" s="1"/>
      <c r="J328" s="90">
        <f>-J327/(PMT(0.04/12,30*12,1)*12)</f>
        <v>71265930.211640403</v>
      </c>
      <c r="K328" s="91" t="s">
        <v>71</v>
      </c>
    </row>
    <row r="329" spans="1:11" ht="18.75" x14ac:dyDescent="0.3">
      <c r="A329" s="79" t="s">
        <v>72</v>
      </c>
      <c r="B329" s="49"/>
      <c r="C329" s="49"/>
      <c r="D329" s="49"/>
      <c r="E329" s="49"/>
      <c r="F329" s="49"/>
      <c r="G329" s="49"/>
      <c r="H329" s="70"/>
      <c r="I329" s="1"/>
      <c r="J329" s="92">
        <f>+H343-J328</f>
        <v>13034069.788359597</v>
      </c>
      <c r="K329" s="91" t="s">
        <v>73</v>
      </c>
    </row>
    <row r="330" spans="1:11" x14ac:dyDescent="0.25">
      <c r="A330" s="38"/>
      <c r="B330" s="49" t="s">
        <v>74</v>
      </c>
      <c r="C330" s="49"/>
      <c r="D330" s="49"/>
      <c r="E330" s="93" t="s">
        <v>75</v>
      </c>
      <c r="F330" s="94">
        <v>0.05</v>
      </c>
      <c r="G330" s="49" t="s">
        <v>76</v>
      </c>
      <c r="H330" s="70">
        <f>+H327/F330</f>
        <v>102070335.38583334</v>
      </c>
      <c r="I330" s="1"/>
      <c r="J330" s="92">
        <f>+H327-J327</f>
        <v>1020703.3538583335</v>
      </c>
      <c r="K330" s="91" t="s">
        <v>77</v>
      </c>
    </row>
    <row r="331" spans="1:11" ht="15.75" thickBot="1" x14ac:dyDescent="0.3">
      <c r="A331" s="38"/>
      <c r="B331" s="49"/>
      <c r="C331" s="49"/>
      <c r="D331" s="49"/>
      <c r="E331" s="49"/>
      <c r="F331" s="49"/>
      <c r="G331" s="93" t="s">
        <v>78</v>
      </c>
      <c r="H331" s="70">
        <f>ROUND(H330,-5)</f>
        <v>102100000</v>
      </c>
      <c r="I331" s="1"/>
      <c r="J331" s="95">
        <f>+J330/J329</f>
        <v>7.8310410365448418E-2</v>
      </c>
      <c r="K331" s="96" t="s">
        <v>79</v>
      </c>
    </row>
    <row r="332" spans="1:11" x14ac:dyDescent="0.25">
      <c r="A332" s="38"/>
      <c r="B332" s="49"/>
      <c r="C332" s="49"/>
      <c r="D332" s="49"/>
      <c r="E332" s="49"/>
      <c r="F332" s="49"/>
      <c r="G332" s="93" t="s">
        <v>80</v>
      </c>
      <c r="H332" s="70">
        <f>+H331/E308</f>
        <v>425.86915264134808</v>
      </c>
      <c r="I332" s="1"/>
      <c r="J332" s="1"/>
      <c r="K332" s="1"/>
    </row>
    <row r="333" spans="1:11" x14ac:dyDescent="0.25">
      <c r="A333" s="38"/>
      <c r="B333" s="49"/>
      <c r="C333" s="49"/>
      <c r="D333" s="49"/>
      <c r="E333" s="49"/>
      <c r="F333" s="49"/>
      <c r="G333" s="93" t="s">
        <v>59</v>
      </c>
      <c r="H333" s="70">
        <f>+H331/D307</f>
        <v>404575.69500928069</v>
      </c>
      <c r="I333" s="1"/>
      <c r="J333" s="1">
        <v>646091.59779614327</v>
      </c>
      <c r="K333" s="2">
        <f>+J333-H333</f>
        <v>241515.90278686257</v>
      </c>
    </row>
    <row r="334" spans="1:11" x14ac:dyDescent="0.25">
      <c r="A334" s="97"/>
      <c r="B334" s="74"/>
      <c r="C334" s="74"/>
      <c r="D334" s="74"/>
      <c r="E334" s="74"/>
      <c r="F334" s="74"/>
      <c r="G334" s="98"/>
      <c r="H334" s="77"/>
      <c r="I334" s="1"/>
      <c r="J334" s="1"/>
      <c r="K334" s="1"/>
    </row>
    <row r="335" spans="1:11" x14ac:dyDescent="0.25">
      <c r="A335" s="38"/>
      <c r="B335" s="49"/>
      <c r="C335" s="49"/>
      <c r="D335" s="49"/>
      <c r="E335" s="49"/>
      <c r="F335" s="94"/>
      <c r="G335" s="49"/>
      <c r="H335" s="70"/>
      <c r="I335" s="1"/>
      <c r="J335" s="1"/>
      <c r="K335" s="1"/>
    </row>
    <row r="336" spans="1:11" ht="19.5" thickBot="1" x14ac:dyDescent="0.35">
      <c r="A336" s="79" t="s">
        <v>81</v>
      </c>
      <c r="B336" s="49"/>
      <c r="C336" s="49"/>
      <c r="D336" s="49"/>
      <c r="E336" s="49"/>
      <c r="F336" s="49"/>
      <c r="G336" s="49"/>
      <c r="H336" s="70"/>
      <c r="I336" s="1"/>
      <c r="J336" s="1"/>
      <c r="K336" s="1"/>
    </row>
    <row r="337" spans="1:11" ht="19.5" thickBot="1" x14ac:dyDescent="0.35">
      <c r="A337" s="79"/>
      <c r="B337" s="49" t="s">
        <v>82</v>
      </c>
      <c r="C337" s="49"/>
      <c r="D337" s="68">
        <f>+H337/D307</f>
        <v>13972.919143256377</v>
      </c>
      <c r="E337" s="49" t="s">
        <v>59</v>
      </c>
      <c r="F337" s="73">
        <v>70</v>
      </c>
      <c r="G337" s="49" t="s">
        <v>83</v>
      </c>
      <c r="H337" s="99">
        <f>F337*H283</f>
        <v>3526250</v>
      </c>
    </row>
    <row r="338" spans="1:11" ht="12.75" customHeight="1" x14ac:dyDescent="0.3">
      <c r="A338" s="79"/>
      <c r="B338" s="49" t="s">
        <v>84</v>
      </c>
      <c r="C338" s="49"/>
      <c r="D338" s="68">
        <v>300000</v>
      </c>
      <c r="E338" s="49" t="s">
        <v>59</v>
      </c>
      <c r="F338" s="67">
        <f>H293</f>
        <v>0</v>
      </c>
      <c r="G338" s="49" t="s">
        <v>35</v>
      </c>
      <c r="H338" s="70">
        <f>+F338*D338</f>
        <v>0</v>
      </c>
    </row>
    <row r="339" spans="1:11" x14ac:dyDescent="0.25">
      <c r="A339" s="38"/>
      <c r="B339" s="49" t="s">
        <v>57</v>
      </c>
      <c r="C339" s="49"/>
      <c r="D339" s="49"/>
      <c r="E339" s="49"/>
      <c r="F339" s="73">
        <f>280*0.92</f>
        <v>257.60000000000002</v>
      </c>
      <c r="G339" s="49" t="s">
        <v>85</v>
      </c>
      <c r="H339" s="70">
        <f>+F339*E308</f>
        <v>61758312.000000007</v>
      </c>
    </row>
    <row r="340" spans="1:11" x14ac:dyDescent="0.25">
      <c r="A340" s="38"/>
      <c r="B340" s="49" t="s">
        <v>46</v>
      </c>
      <c r="C340" s="49"/>
      <c r="D340" s="49"/>
      <c r="E340" s="49"/>
      <c r="F340" s="73">
        <v>280</v>
      </c>
      <c r="G340" s="49" t="s">
        <v>85</v>
      </c>
      <c r="H340" s="70">
        <f>F340*(E309)</f>
        <v>0</v>
      </c>
    </row>
    <row r="341" spans="1:11" x14ac:dyDescent="0.25">
      <c r="A341" s="38"/>
      <c r="B341" s="49" t="s">
        <v>86</v>
      </c>
      <c r="C341" s="49" t="s">
        <v>87</v>
      </c>
      <c r="D341" s="67">
        <f>+D306</f>
        <v>189.27236842105265</v>
      </c>
      <c r="E341" s="32" t="s">
        <v>88</v>
      </c>
      <c r="F341" s="68">
        <v>35000</v>
      </c>
      <c r="G341" s="49" t="s">
        <v>89</v>
      </c>
      <c r="H341" s="70">
        <f>+F341*D306</f>
        <v>6624532.8947368423</v>
      </c>
    </row>
    <row r="342" spans="1:11" x14ac:dyDescent="0.25">
      <c r="A342" s="38"/>
      <c r="B342" s="74" t="s">
        <v>90</v>
      </c>
      <c r="C342" s="74"/>
      <c r="D342" s="74"/>
      <c r="E342" s="74"/>
      <c r="F342" s="87">
        <v>0.2</v>
      </c>
      <c r="G342" s="74" t="s">
        <v>91</v>
      </c>
      <c r="H342" s="77">
        <f>ROUND((H339+H340)*F342,-5)</f>
        <v>12400000</v>
      </c>
    </row>
    <row r="343" spans="1:11" x14ac:dyDescent="0.25">
      <c r="A343" s="38"/>
      <c r="B343" s="49"/>
      <c r="C343" s="49"/>
      <c r="D343" s="49"/>
      <c r="E343" s="49"/>
      <c r="F343" s="49"/>
      <c r="G343" s="93" t="s">
        <v>78</v>
      </c>
      <c r="H343" s="70">
        <f>ROUND(SUM(H337:H342),-5)</f>
        <v>84300000</v>
      </c>
    </row>
    <row r="344" spans="1:11" x14ac:dyDescent="0.25">
      <c r="A344" s="38"/>
      <c r="B344" s="49"/>
      <c r="C344" s="49"/>
      <c r="D344" s="49"/>
      <c r="E344" s="49"/>
      <c r="F344" s="49"/>
      <c r="G344" s="93" t="s">
        <v>80</v>
      </c>
      <c r="H344" s="70">
        <f>+H343/(E308+E309)</f>
        <v>351.62360007507976</v>
      </c>
    </row>
    <row r="345" spans="1:11" x14ac:dyDescent="0.25">
      <c r="A345" s="38"/>
      <c r="B345" s="49"/>
      <c r="C345" s="49"/>
      <c r="D345" s="49"/>
      <c r="E345" s="49"/>
      <c r="F345" s="49"/>
      <c r="G345" s="93" t="s">
        <v>59</v>
      </c>
      <c r="H345" s="70">
        <f>+H343/H286</f>
        <v>334042.42007132579</v>
      </c>
    </row>
    <row r="346" spans="1:11" x14ac:dyDescent="0.25">
      <c r="A346" s="38"/>
      <c r="B346" s="49"/>
      <c r="C346" s="49"/>
      <c r="D346" s="49"/>
      <c r="E346" s="49"/>
      <c r="F346" s="49"/>
      <c r="G346" s="49"/>
      <c r="H346" s="70"/>
    </row>
    <row r="347" spans="1:11" ht="18.75" x14ac:dyDescent="0.3">
      <c r="A347" s="100" t="s">
        <v>92</v>
      </c>
      <c r="B347" s="49"/>
      <c r="C347" s="49"/>
      <c r="D347" s="49"/>
      <c r="E347" s="93" t="s">
        <v>93</v>
      </c>
      <c r="F347" s="80">
        <f>+H327/H343</f>
        <v>6.0539937951265332E-2</v>
      </c>
      <c r="G347" s="93" t="s">
        <v>94</v>
      </c>
      <c r="H347" s="70">
        <f>+H331-H343</f>
        <v>17800000</v>
      </c>
    </row>
    <row r="348" spans="1:11" ht="15.75" thickBot="1" x14ac:dyDescent="0.3">
      <c r="A348" s="101"/>
      <c r="B348" s="102"/>
      <c r="C348" s="102"/>
      <c r="D348" s="103"/>
      <c r="E348" s="103"/>
      <c r="F348" s="103"/>
      <c r="G348" s="102"/>
      <c r="H348" s="104"/>
    </row>
    <row r="349" spans="1:11" ht="15.75" thickBot="1" x14ac:dyDescent="0.3">
      <c r="A349" s="38"/>
      <c r="B349" s="49"/>
      <c r="C349" s="49"/>
      <c r="D349" s="32"/>
      <c r="E349" s="32"/>
      <c r="F349" s="32"/>
      <c r="G349" s="49"/>
      <c r="H349" s="70"/>
    </row>
    <row r="350" spans="1:11" ht="18.75" x14ac:dyDescent="0.3">
      <c r="A350" s="3" t="s">
        <v>7</v>
      </c>
      <c r="B350" s="4"/>
      <c r="C350" s="5" t="s">
        <v>8</v>
      </c>
      <c r="D350" s="6" t="s">
        <v>9</v>
      </c>
      <c r="E350" s="7"/>
      <c r="F350" s="7"/>
      <c r="G350" s="8" t="s">
        <v>10</v>
      </c>
      <c r="H350" s="25" t="s">
        <v>11</v>
      </c>
    </row>
    <row r="351" spans="1:11" ht="18.75" x14ac:dyDescent="0.3">
      <c r="A351" s="26" t="s">
        <v>12</v>
      </c>
      <c r="B351" s="27"/>
      <c r="C351" s="11"/>
      <c r="D351" s="28" t="s">
        <v>1</v>
      </c>
      <c r="E351" s="12" t="s">
        <v>13</v>
      </c>
      <c r="F351" s="29">
        <v>1</v>
      </c>
      <c r="G351" s="30" t="s">
        <v>14</v>
      </c>
      <c r="H351" s="31">
        <v>38850</v>
      </c>
    </row>
    <row r="352" spans="1:11" ht="18.75" x14ac:dyDescent="0.3">
      <c r="A352" s="26" t="s">
        <v>105</v>
      </c>
      <c r="B352" s="27"/>
      <c r="C352" s="32"/>
      <c r="D352" s="11" t="s">
        <v>16</v>
      </c>
      <c r="E352" s="12"/>
      <c r="F352" s="33"/>
      <c r="G352" s="14" t="s">
        <v>4</v>
      </c>
      <c r="H352" s="15">
        <f>H353/H351</f>
        <v>6.3640926640926638</v>
      </c>
      <c r="I352" s="148" t="s">
        <v>138</v>
      </c>
      <c r="J352" s="146"/>
      <c r="K352" s="144" t="s">
        <v>139</v>
      </c>
    </row>
    <row r="353" spans="1:13" ht="19.5" thickBot="1" x14ac:dyDescent="0.35">
      <c r="A353" s="34" t="s">
        <v>17</v>
      </c>
      <c r="B353" s="35"/>
      <c r="C353" s="36"/>
      <c r="D353" s="11" t="s">
        <v>18</v>
      </c>
      <c r="E353" s="17"/>
      <c r="F353" s="17"/>
      <c r="G353" s="37" t="s">
        <v>19</v>
      </c>
      <c r="H353" s="31">
        <v>247245</v>
      </c>
      <c r="I353" s="145">
        <f>H351*2</f>
        <v>77700</v>
      </c>
      <c r="J353" s="146" t="s">
        <v>137</v>
      </c>
      <c r="K353" s="144">
        <f>I353/G354</f>
        <v>81.78947368421052</v>
      </c>
      <c r="M353" s="1" t="s">
        <v>106</v>
      </c>
    </row>
    <row r="354" spans="1:13" ht="18.75" x14ac:dyDescent="0.3">
      <c r="A354" s="38"/>
      <c r="B354" s="32"/>
      <c r="C354" s="36"/>
      <c r="D354" s="11" t="s">
        <v>5</v>
      </c>
      <c r="E354" s="17"/>
      <c r="F354" s="17"/>
      <c r="G354" s="18">
        <f>G286</f>
        <v>950</v>
      </c>
      <c r="H354" s="39">
        <f>H353/G354</f>
        <v>260.2578947368421</v>
      </c>
      <c r="I354" s="145">
        <f>H353-I353</f>
        <v>169545</v>
      </c>
      <c r="J354" s="147" t="s">
        <v>140</v>
      </c>
      <c r="K354" s="144">
        <f>I354/G354</f>
        <v>178.46842105263158</v>
      </c>
      <c r="M354" s="112">
        <f>H150+H218+H286+H354</f>
        <v>1568.4526315789471</v>
      </c>
    </row>
    <row r="355" spans="1:13" ht="18.75" x14ac:dyDescent="0.3">
      <c r="A355" s="38"/>
      <c r="B355" s="32"/>
      <c r="C355" s="1"/>
      <c r="D355" s="11" t="s">
        <v>20</v>
      </c>
      <c r="E355" s="17"/>
      <c r="F355" s="17"/>
      <c r="G355" s="41"/>
      <c r="H355" s="42">
        <v>0.75</v>
      </c>
      <c r="I355" s="143"/>
      <c r="J355" s="143"/>
      <c r="K355" s="144">
        <f>SUM(K353:K354)</f>
        <v>260.2578947368421</v>
      </c>
      <c r="M355" s="16"/>
    </row>
    <row r="356" spans="1:13" ht="18.75" x14ac:dyDescent="0.3">
      <c r="A356" s="38"/>
      <c r="B356" s="32"/>
      <c r="C356" s="21" t="s">
        <v>21</v>
      </c>
      <c r="D356" s="21" t="s">
        <v>101</v>
      </c>
      <c r="E356" s="22"/>
      <c r="F356" s="22"/>
      <c r="G356" s="21"/>
      <c r="H356" s="141">
        <f>K353*0.13</f>
        <v>10.632631578947368</v>
      </c>
      <c r="I356" s="44">
        <f>H354*0.2</f>
        <v>52.051578947368426</v>
      </c>
      <c r="M356" s="20">
        <f>H152+H220+H288+H356</f>
        <v>103.49877894736842</v>
      </c>
    </row>
    <row r="357" spans="1:13" ht="18.75" x14ac:dyDescent="0.3">
      <c r="A357" s="38"/>
      <c r="B357" s="32"/>
      <c r="C357" s="45"/>
      <c r="D357" s="21" t="s">
        <v>102</v>
      </c>
      <c r="E357" s="22"/>
      <c r="F357" s="22"/>
      <c r="G357" s="21"/>
      <c r="H357" s="141">
        <v>52</v>
      </c>
      <c r="I357" s="1"/>
      <c r="M357" s="20">
        <f>H153+H221+H289+H357</f>
        <v>224</v>
      </c>
    </row>
    <row r="358" spans="1:13" ht="18.75" x14ac:dyDescent="0.3">
      <c r="A358" s="38"/>
      <c r="B358" s="32"/>
      <c r="C358" s="45"/>
      <c r="D358" s="21" t="s">
        <v>23</v>
      </c>
      <c r="E358" s="22"/>
      <c r="F358" s="22"/>
      <c r="G358" s="21"/>
      <c r="H358" s="141">
        <f>SUM(H356:H357)</f>
        <v>62.632631578947368</v>
      </c>
      <c r="I358" s="1"/>
      <c r="J358" s="140">
        <f>K353*0.13+K354*0.29</f>
        <v>62.388473684210524</v>
      </c>
      <c r="K358" s="140">
        <f>(K353*0.13)+(K354*0.3)</f>
        <v>64.173157894736846</v>
      </c>
      <c r="M358" s="20">
        <f>H154+H222+H290+H358</f>
        <v>327.49877894736841</v>
      </c>
    </row>
    <row r="359" spans="1:13" ht="18.75" x14ac:dyDescent="0.3">
      <c r="A359" s="38"/>
      <c r="B359" s="32"/>
      <c r="C359" s="1"/>
      <c r="D359" s="21" t="s">
        <v>24</v>
      </c>
      <c r="E359" s="22"/>
      <c r="F359" s="22"/>
      <c r="G359" s="21"/>
      <c r="H359" s="46">
        <f>H358/H354</f>
        <v>0.24065602944447814</v>
      </c>
      <c r="I359" s="1"/>
      <c r="M359" s="16"/>
    </row>
    <row r="360" spans="1:13" ht="18.75" x14ac:dyDescent="0.3">
      <c r="A360" s="38"/>
      <c r="B360" s="32"/>
      <c r="C360" s="45"/>
      <c r="D360" s="21" t="s">
        <v>17</v>
      </c>
      <c r="E360" s="22"/>
      <c r="F360" s="22"/>
      <c r="G360" s="21"/>
      <c r="H360" s="47"/>
      <c r="I360" s="1"/>
      <c r="M360" s="16"/>
    </row>
    <row r="361" spans="1:13" ht="19.5" thickBot="1" x14ac:dyDescent="0.35">
      <c r="A361" s="38"/>
      <c r="B361" s="32"/>
      <c r="C361" s="36"/>
      <c r="D361" s="21" t="s">
        <v>98</v>
      </c>
      <c r="E361" s="22"/>
      <c r="F361" s="22"/>
      <c r="G361" s="21"/>
      <c r="H361" s="23">
        <v>0</v>
      </c>
      <c r="I361" s="110">
        <f>J358-H358</f>
        <v>-0.24415789473684413</v>
      </c>
      <c r="M361" s="113">
        <f>H157+H225+H293+H361</f>
        <v>0</v>
      </c>
    </row>
    <row r="362" spans="1:13" ht="18.75" x14ac:dyDescent="0.3">
      <c r="A362" s="38"/>
      <c r="B362" s="32"/>
      <c r="C362" s="36"/>
      <c r="D362" s="21" t="s">
        <v>27</v>
      </c>
      <c r="E362" s="22"/>
      <c r="F362" s="22"/>
      <c r="G362" s="21"/>
      <c r="H362" s="48">
        <v>300000</v>
      </c>
      <c r="I362" s="1"/>
      <c r="J362" s="1"/>
    </row>
    <row r="363" spans="1:13" ht="19.5" thickBot="1" x14ac:dyDescent="0.35">
      <c r="A363" s="38"/>
      <c r="B363" s="32"/>
      <c r="C363" s="49"/>
      <c r="D363" s="45"/>
      <c r="E363" s="45"/>
      <c r="F363" s="49"/>
      <c r="G363" s="45"/>
      <c r="H363" s="50"/>
      <c r="I363" s="1"/>
      <c r="J363" s="1"/>
    </row>
    <row r="364" spans="1:13" ht="19.5" thickBot="1" x14ac:dyDescent="0.35">
      <c r="A364" s="38"/>
      <c r="B364" s="32"/>
      <c r="C364" s="51" t="s">
        <v>28</v>
      </c>
      <c r="D364" s="51" t="s">
        <v>29</v>
      </c>
      <c r="E364" s="52"/>
      <c r="F364" s="53">
        <v>6.0999999999999999E-2</v>
      </c>
      <c r="G364" s="54" t="s">
        <v>30</v>
      </c>
      <c r="H364" s="55">
        <f>+F415</f>
        <v>5.9899052518582054E-2</v>
      </c>
      <c r="I364" s="1"/>
      <c r="J364" s="1"/>
    </row>
    <row r="365" spans="1:13" ht="18.75" x14ac:dyDescent="0.3">
      <c r="A365" s="38"/>
      <c r="B365" s="32"/>
      <c r="C365" s="36"/>
      <c r="D365" s="51" t="s">
        <v>31</v>
      </c>
      <c r="E365" s="52"/>
      <c r="F365" s="56">
        <f>F297</f>
        <v>3.65</v>
      </c>
      <c r="G365" s="51" t="s">
        <v>32</v>
      </c>
      <c r="H365" s="57"/>
      <c r="I365" s="1"/>
      <c r="J365" s="1"/>
    </row>
    <row r="366" spans="1:13" ht="19.5" thickBot="1" x14ac:dyDescent="0.35">
      <c r="A366" s="38"/>
      <c r="B366" s="32"/>
      <c r="C366" s="32"/>
      <c r="D366" s="36"/>
      <c r="E366" s="45"/>
      <c r="F366" s="49"/>
      <c r="G366" s="45"/>
      <c r="H366" s="58"/>
      <c r="I366" s="1"/>
      <c r="J366" s="1"/>
    </row>
    <row r="367" spans="1:13" ht="18.75" x14ac:dyDescent="0.3">
      <c r="A367" s="59" t="s">
        <v>33</v>
      </c>
      <c r="B367" s="60"/>
      <c r="C367" s="60"/>
      <c r="D367" s="60"/>
      <c r="E367" s="60"/>
      <c r="F367" s="60"/>
      <c r="G367" s="60"/>
      <c r="H367" s="61"/>
      <c r="I367" s="1"/>
      <c r="J367" s="1"/>
    </row>
    <row r="368" spans="1:13" ht="30" x14ac:dyDescent="0.25">
      <c r="A368" s="62" t="s">
        <v>34</v>
      </c>
      <c r="B368" s="63"/>
      <c r="C368" s="63"/>
      <c r="D368" s="64" t="s">
        <v>35</v>
      </c>
      <c r="E368" s="64" t="s">
        <v>36</v>
      </c>
      <c r="F368" s="64" t="s">
        <v>37</v>
      </c>
      <c r="G368" s="64" t="s">
        <v>38</v>
      </c>
      <c r="H368" s="65" t="s">
        <v>39</v>
      </c>
      <c r="I368" s="1"/>
      <c r="J368" s="1"/>
    </row>
    <row r="369" spans="1:8" x14ac:dyDescent="0.25">
      <c r="A369" s="38"/>
      <c r="B369" s="49" t="s">
        <v>40</v>
      </c>
      <c r="C369" s="49" t="s">
        <v>41</v>
      </c>
      <c r="D369" s="66">
        <f>ROUND(H354-D370-D371,0)</f>
        <v>198</v>
      </c>
      <c r="E369" s="67">
        <v>810</v>
      </c>
      <c r="F369" s="68">
        <f>+G369*E369</f>
        <v>2956.5</v>
      </c>
      <c r="G369" s="69">
        <f>F365</f>
        <v>3.65</v>
      </c>
      <c r="H369" s="70">
        <f>+D369*F369*12</f>
        <v>7024644</v>
      </c>
    </row>
    <row r="370" spans="1:8" x14ac:dyDescent="0.25">
      <c r="A370" s="38"/>
      <c r="B370" s="71" t="s">
        <v>42</v>
      </c>
      <c r="C370" s="49" t="s">
        <v>43</v>
      </c>
      <c r="D370" s="66">
        <f>H356</f>
        <v>10.632631578947368</v>
      </c>
      <c r="E370" s="67">
        <v>810</v>
      </c>
      <c r="F370" s="68">
        <v>1098.26</v>
      </c>
      <c r="G370" s="72">
        <f>IF(H370=0,0,+H370/(E370*D370)/12)</f>
        <v>1.3558765432098767</v>
      </c>
      <c r="H370" s="70">
        <f>+F370*D370*12</f>
        <v>140128.72749473684</v>
      </c>
    </row>
    <row r="371" spans="1:8" x14ac:dyDescent="0.25">
      <c r="A371" s="38"/>
      <c r="B371" s="71" t="s">
        <v>44</v>
      </c>
      <c r="C371" s="49" t="s">
        <v>45</v>
      </c>
      <c r="D371" s="66">
        <f>H357</f>
        <v>52</v>
      </c>
      <c r="E371" s="67">
        <v>810</v>
      </c>
      <c r="F371" s="68">
        <v>784.93925925925919</v>
      </c>
      <c r="G371" s="73">
        <f>IF(H371=0,0,+H371/(E371*D371)/12)</f>
        <v>0.96906081390031995</v>
      </c>
      <c r="H371" s="70">
        <f>+F371*D371*12</f>
        <v>489802.0977777777</v>
      </c>
    </row>
    <row r="372" spans="1:8" x14ac:dyDescent="0.25">
      <c r="A372" s="38"/>
      <c r="B372" s="49" t="s">
        <v>46</v>
      </c>
      <c r="C372" s="49" t="s">
        <v>47</v>
      </c>
      <c r="D372" s="67">
        <v>0</v>
      </c>
      <c r="E372" s="67">
        <v>0</v>
      </c>
      <c r="F372" s="73">
        <v>0</v>
      </c>
      <c r="G372" s="73">
        <v>0</v>
      </c>
      <c r="H372" s="70">
        <f>+G372*E372*D372</f>
        <v>0</v>
      </c>
    </row>
    <row r="373" spans="1:8" x14ac:dyDescent="0.25">
      <c r="A373" s="38"/>
      <c r="B373" s="49"/>
      <c r="C373" s="49" t="s">
        <v>48</v>
      </c>
      <c r="D373" s="67">
        <v>0</v>
      </c>
      <c r="E373" s="67">
        <v>5000</v>
      </c>
      <c r="F373" s="73">
        <f>+G373/12</f>
        <v>0</v>
      </c>
      <c r="G373" s="73">
        <v>0</v>
      </c>
      <c r="H373" s="70">
        <f>+G373*E373*D373</f>
        <v>0</v>
      </c>
    </row>
    <row r="374" spans="1:8" x14ac:dyDescent="0.25">
      <c r="A374" s="38"/>
      <c r="B374" s="74" t="s">
        <v>49</v>
      </c>
      <c r="C374" s="74"/>
      <c r="D374" s="75">
        <f>+H354*H355</f>
        <v>195.19342105263158</v>
      </c>
      <c r="E374" s="76"/>
      <c r="F374" s="76"/>
      <c r="G374" s="76">
        <v>250</v>
      </c>
      <c r="H374" s="77">
        <f>+D374*G374*12</f>
        <v>585580.26315789472</v>
      </c>
    </row>
    <row r="375" spans="1:8" x14ac:dyDescent="0.25">
      <c r="A375" s="38"/>
      <c r="B375" s="49" t="s">
        <v>50</v>
      </c>
      <c r="C375" s="49"/>
      <c r="D375" s="66">
        <f>+H354</f>
        <v>260.2578947368421</v>
      </c>
      <c r="E375" s="67">
        <f>(E369*D369)+(E370*D370)</f>
        <v>168992.43157894738</v>
      </c>
      <c r="F375" s="73"/>
      <c r="G375" s="68"/>
      <c r="H375" s="70">
        <f>SUM(H369:H374)</f>
        <v>8240155.0884304093</v>
      </c>
    </row>
    <row r="376" spans="1:8" x14ac:dyDescent="0.25">
      <c r="A376" s="38"/>
      <c r="B376" s="49" t="s">
        <v>51</v>
      </c>
      <c r="C376" s="49"/>
      <c r="D376" s="78">
        <v>0.85</v>
      </c>
      <c r="E376" s="67">
        <f>+H353</f>
        <v>247245</v>
      </c>
      <c r="F376" s="68"/>
      <c r="G376" s="68"/>
      <c r="H376" s="70"/>
    </row>
    <row r="377" spans="1:8" x14ac:dyDescent="0.25">
      <c r="A377" s="38"/>
      <c r="B377" s="49" t="s">
        <v>52</v>
      </c>
      <c r="C377" s="49"/>
      <c r="D377" s="78">
        <v>1</v>
      </c>
      <c r="E377" s="67">
        <f>(E372*D372)+(D373*E373)</f>
        <v>0</v>
      </c>
      <c r="F377" s="68"/>
      <c r="G377" s="68"/>
      <c r="H377" s="70"/>
    </row>
    <row r="378" spans="1:8" x14ac:dyDescent="0.25">
      <c r="A378" s="38"/>
      <c r="B378" s="49"/>
      <c r="C378" s="49"/>
      <c r="D378" s="67"/>
      <c r="E378" s="68"/>
      <c r="F378" s="68"/>
      <c r="G378" s="68"/>
      <c r="H378" s="70"/>
    </row>
    <row r="379" spans="1:8" ht="18.75" x14ac:dyDescent="0.3">
      <c r="A379" s="79" t="s">
        <v>53</v>
      </c>
      <c r="B379" s="49"/>
      <c r="C379" s="49" t="str">
        <f>+C369</f>
        <v>Market Rate</v>
      </c>
      <c r="D379" s="67"/>
      <c r="E379" s="68"/>
      <c r="F379" s="68"/>
      <c r="G379" s="80">
        <v>0.05</v>
      </c>
      <c r="H379" s="70">
        <f>-G379*H369</f>
        <v>-351232.2</v>
      </c>
    </row>
    <row r="380" spans="1:8" ht="12.75" customHeight="1" x14ac:dyDescent="0.3">
      <c r="A380" s="79"/>
      <c r="B380" s="49"/>
      <c r="C380" s="49" t="str">
        <f>+C370</f>
        <v>Low Income</v>
      </c>
      <c r="D380" s="67"/>
      <c r="E380" s="68"/>
      <c r="F380" s="68"/>
      <c r="G380" s="80">
        <v>0</v>
      </c>
      <c r="H380" s="70">
        <f>-G380*H370</f>
        <v>0</v>
      </c>
    </row>
    <row r="381" spans="1:8" ht="12.75" customHeight="1" x14ac:dyDescent="0.3">
      <c r="A381" s="79"/>
      <c r="B381" s="49"/>
      <c r="C381" s="49" t="str">
        <f>+C372</f>
        <v>Market Rate Retail</v>
      </c>
      <c r="D381" s="67"/>
      <c r="E381" s="68"/>
      <c r="F381" s="68"/>
      <c r="G381" s="80">
        <v>0.1</v>
      </c>
      <c r="H381" s="70">
        <f>-G381*H372</f>
        <v>0</v>
      </c>
    </row>
    <row r="382" spans="1:8" x14ac:dyDescent="0.25">
      <c r="A382" s="38"/>
      <c r="B382" s="74"/>
      <c r="C382" s="74" t="str">
        <f>+C373</f>
        <v>Affordable Innovation</v>
      </c>
      <c r="D382" s="75"/>
      <c r="E382" s="76"/>
      <c r="F382" s="76"/>
      <c r="G382" s="81">
        <v>0.2</v>
      </c>
      <c r="H382" s="77">
        <f>-G382*H373</f>
        <v>0</v>
      </c>
    </row>
    <row r="383" spans="1:8" x14ac:dyDescent="0.25">
      <c r="A383" s="38"/>
      <c r="B383" s="49" t="s">
        <v>54</v>
      </c>
      <c r="C383" s="49"/>
      <c r="D383" s="67"/>
      <c r="E383" s="68"/>
      <c r="F383" s="68"/>
      <c r="G383" s="80"/>
      <c r="H383" s="70">
        <f>SUM(H379:H382)</f>
        <v>-351232.2</v>
      </c>
    </row>
    <row r="384" spans="1:8" s="83" customFormat="1" ht="18.75" x14ac:dyDescent="0.3">
      <c r="A384" s="82"/>
      <c r="C384" s="45"/>
      <c r="D384" s="49"/>
      <c r="E384" s="49"/>
      <c r="F384" s="84"/>
      <c r="G384" s="85"/>
      <c r="H384" s="70"/>
    </row>
    <row r="385" spans="1:11" ht="18.75" x14ac:dyDescent="0.3">
      <c r="A385" s="79" t="s">
        <v>55</v>
      </c>
      <c r="B385" s="49"/>
      <c r="C385" s="49"/>
      <c r="D385" s="67"/>
      <c r="E385" s="68"/>
      <c r="F385" s="68"/>
      <c r="G385" s="68"/>
      <c r="H385" s="70">
        <f>+H375+H383</f>
        <v>7888922.8884304091</v>
      </c>
      <c r="I385" s="1"/>
      <c r="J385" s="1"/>
      <c r="K385" s="1"/>
    </row>
    <row r="386" spans="1:11" x14ac:dyDescent="0.25">
      <c r="A386" s="38"/>
      <c r="B386" s="49"/>
      <c r="C386" s="49"/>
      <c r="D386" s="67"/>
      <c r="E386" s="68"/>
      <c r="F386" s="68"/>
      <c r="G386" s="68"/>
      <c r="H386" s="70"/>
      <c r="I386" s="1"/>
      <c r="J386" s="1"/>
      <c r="K386" s="1"/>
    </row>
    <row r="387" spans="1:11" ht="18.75" x14ac:dyDescent="0.3">
      <c r="A387" s="79" t="s">
        <v>56</v>
      </c>
      <c r="B387" s="49"/>
      <c r="C387" s="49"/>
      <c r="D387" s="49"/>
      <c r="E387" s="49"/>
      <c r="F387" s="49"/>
      <c r="G387" s="49"/>
      <c r="H387" s="70"/>
      <c r="I387" s="1"/>
      <c r="J387" s="1"/>
      <c r="K387" s="1"/>
    </row>
    <row r="388" spans="1:11" x14ac:dyDescent="0.25">
      <c r="A388" s="38"/>
      <c r="B388" s="49" t="s">
        <v>57</v>
      </c>
      <c r="C388" s="49" t="s">
        <v>58</v>
      </c>
      <c r="D388" s="49"/>
      <c r="E388" s="49"/>
      <c r="F388" s="68">
        <v>7500</v>
      </c>
      <c r="G388" s="68" t="s">
        <v>59</v>
      </c>
      <c r="H388" s="70">
        <f>-F388*D375</f>
        <v>-1951934.2105263157</v>
      </c>
      <c r="I388" s="1"/>
      <c r="J388" s="1"/>
      <c r="K388" s="1"/>
    </row>
    <row r="389" spans="1:11" x14ac:dyDescent="0.25">
      <c r="A389" s="38"/>
      <c r="B389" s="49"/>
      <c r="C389" s="49" t="s">
        <v>60</v>
      </c>
      <c r="D389" s="78">
        <v>7.0000000000000007E-2</v>
      </c>
      <c r="E389" s="49" t="s">
        <v>61</v>
      </c>
      <c r="F389" s="68">
        <f>ROUND(-H389/D375,-2)</f>
        <v>2100</v>
      </c>
      <c r="G389" s="68" t="s">
        <v>59</v>
      </c>
      <c r="H389" s="70">
        <f>(H369+H370+H374)*-D389</f>
        <v>-542524.70934568427</v>
      </c>
      <c r="I389" s="1"/>
      <c r="J389" s="1"/>
      <c r="K389" s="1"/>
    </row>
    <row r="390" spans="1:11" x14ac:dyDescent="0.25">
      <c r="A390" s="38"/>
      <c r="B390" s="49"/>
      <c r="C390" s="49" t="s">
        <v>62</v>
      </c>
      <c r="D390" s="80">
        <v>2.5000000000000001E-2</v>
      </c>
      <c r="E390" s="49" t="s">
        <v>63</v>
      </c>
      <c r="F390" s="68">
        <f>-H390/D375</f>
        <v>707.26340007522901</v>
      </c>
      <c r="G390" s="68" t="s">
        <v>59</v>
      </c>
      <c r="H390" s="70">
        <f>-D390*((H369+H370+H374)*(1-G379))</f>
        <v>-184070.88352800001</v>
      </c>
      <c r="I390" s="1"/>
      <c r="J390" s="1"/>
      <c r="K390" s="1"/>
    </row>
    <row r="391" spans="1:11" x14ac:dyDescent="0.25">
      <c r="A391" s="38"/>
      <c r="B391" s="49"/>
      <c r="C391" s="49" t="s">
        <v>64</v>
      </c>
      <c r="D391" s="49"/>
      <c r="E391" s="49"/>
      <c r="F391" s="68">
        <v>250</v>
      </c>
      <c r="G391" s="68" t="s">
        <v>59</v>
      </c>
      <c r="H391" s="70">
        <f>-F391*D375</f>
        <v>-65064.473684210527</v>
      </c>
      <c r="I391" s="1"/>
      <c r="J391" s="1"/>
      <c r="K391" s="1"/>
    </row>
    <row r="392" spans="1:11" x14ac:dyDescent="0.25">
      <c r="A392" s="38"/>
      <c r="B392" s="74" t="s">
        <v>46</v>
      </c>
      <c r="C392" s="86" t="s">
        <v>65</v>
      </c>
      <c r="D392" s="74"/>
      <c r="E392" s="74"/>
      <c r="F392" s="87">
        <v>0.02</v>
      </c>
      <c r="G392" s="74" t="s">
        <v>66</v>
      </c>
      <c r="H392" s="77">
        <f>-F392*(H372+H373)</f>
        <v>0</v>
      </c>
      <c r="I392" s="1"/>
      <c r="J392" s="1"/>
      <c r="K392" s="1"/>
    </row>
    <row r="393" spans="1:11" x14ac:dyDescent="0.25">
      <c r="A393" s="38"/>
      <c r="B393" s="49" t="s">
        <v>67</v>
      </c>
      <c r="C393" s="49"/>
      <c r="D393" s="78">
        <f>-H393/H385</f>
        <v>0.34777805739587853</v>
      </c>
      <c r="E393" s="68" t="s">
        <v>68</v>
      </c>
      <c r="F393" s="68">
        <f>-H393/D375</f>
        <v>10541.829210823273</v>
      </c>
      <c r="G393" s="68" t="s">
        <v>59</v>
      </c>
      <c r="H393" s="70">
        <f>SUM(H388:H392)</f>
        <v>-2743594.2770842104</v>
      </c>
      <c r="I393" s="1"/>
      <c r="J393" s="1"/>
      <c r="K393" s="1"/>
    </row>
    <row r="394" spans="1:11" ht="15.75" thickBot="1" x14ac:dyDescent="0.3">
      <c r="A394" s="38"/>
      <c r="B394" s="49"/>
      <c r="C394" s="49"/>
      <c r="D394" s="49"/>
      <c r="E394" s="32"/>
      <c r="F394" s="49"/>
      <c r="G394" s="49"/>
      <c r="H394" s="70"/>
      <c r="I394" s="1"/>
      <c r="J394" s="1"/>
      <c r="K394" s="1"/>
    </row>
    <row r="395" spans="1:11" ht="18.75" x14ac:dyDescent="0.3">
      <c r="A395" s="79" t="s">
        <v>69</v>
      </c>
      <c r="B395" s="49"/>
      <c r="C395" s="49"/>
      <c r="D395" s="78">
        <f>+H395/H385</f>
        <v>0.65222194260412147</v>
      </c>
      <c r="E395" s="68" t="s">
        <v>68</v>
      </c>
      <c r="F395" s="68">
        <f>+H395/D375</f>
        <v>19770.115394765875</v>
      </c>
      <c r="G395" s="68" t="s">
        <v>59</v>
      </c>
      <c r="H395" s="70">
        <f>+H385+H393</f>
        <v>5145328.6113461982</v>
      </c>
      <c r="I395" s="1"/>
      <c r="J395" s="88">
        <f>+H395/1.25</f>
        <v>4116262.8890769584</v>
      </c>
      <c r="K395" s="89" t="s">
        <v>70</v>
      </c>
    </row>
    <row r="396" spans="1:11" x14ac:dyDescent="0.25">
      <c r="A396" s="38"/>
      <c r="B396" s="49"/>
      <c r="C396" s="49"/>
      <c r="D396" s="49"/>
      <c r="E396" s="49"/>
      <c r="F396" s="49"/>
      <c r="G396" s="49"/>
      <c r="H396" s="70"/>
      <c r="I396" s="1"/>
      <c r="J396" s="90">
        <f>-J395/(PMT(0.04/12,30*12,1)*12)</f>
        <v>71849794.231801525</v>
      </c>
      <c r="K396" s="91" t="s">
        <v>71</v>
      </c>
    </row>
    <row r="397" spans="1:11" ht="18.75" x14ac:dyDescent="0.3">
      <c r="A397" s="79" t="s">
        <v>72</v>
      </c>
      <c r="B397" s="49"/>
      <c r="C397" s="49"/>
      <c r="D397" s="49"/>
      <c r="E397" s="49"/>
      <c r="F397" s="49"/>
      <c r="G397" s="49"/>
      <c r="H397" s="70"/>
      <c r="I397" s="1"/>
      <c r="J397" s="92">
        <f>+H411-J396</f>
        <v>14050205.768198475</v>
      </c>
      <c r="K397" s="91" t="s">
        <v>73</v>
      </c>
    </row>
    <row r="398" spans="1:11" x14ac:dyDescent="0.25">
      <c r="A398" s="38"/>
      <c r="B398" s="49" t="s">
        <v>74</v>
      </c>
      <c r="C398" s="49"/>
      <c r="D398" s="49"/>
      <c r="E398" s="93" t="s">
        <v>75</v>
      </c>
      <c r="F398" s="94">
        <v>0.05</v>
      </c>
      <c r="G398" s="49" t="s">
        <v>76</v>
      </c>
      <c r="H398" s="70">
        <f>+H395/F398</f>
        <v>102906572.22692396</v>
      </c>
      <c r="I398" s="1"/>
      <c r="J398" s="92">
        <f>+H395-J395</f>
        <v>1029065.7222692398</v>
      </c>
      <c r="K398" s="91" t="s">
        <v>77</v>
      </c>
    </row>
    <row r="399" spans="1:11" ht="15.75" thickBot="1" x14ac:dyDescent="0.3">
      <c r="A399" s="38"/>
      <c r="B399" s="49"/>
      <c r="C399" s="49"/>
      <c r="D399" s="49"/>
      <c r="E399" s="49"/>
      <c r="F399" s="49"/>
      <c r="G399" s="93" t="s">
        <v>78</v>
      </c>
      <c r="H399" s="70">
        <f>ROUND(H398,-5)</f>
        <v>102900000</v>
      </c>
      <c r="I399" s="1"/>
      <c r="J399" s="95">
        <f>+J398/J397</f>
        <v>7.3242039244610091E-2</v>
      </c>
      <c r="K399" s="96" t="s">
        <v>79</v>
      </c>
    </row>
    <row r="400" spans="1:11" x14ac:dyDescent="0.25">
      <c r="A400" s="38"/>
      <c r="B400" s="49"/>
      <c r="C400" s="49"/>
      <c r="D400" s="49"/>
      <c r="E400" s="49"/>
      <c r="F400" s="49"/>
      <c r="G400" s="93" t="s">
        <v>80</v>
      </c>
      <c r="H400" s="70">
        <f>+H399/E376</f>
        <v>416.18637383971367</v>
      </c>
      <c r="I400" s="1"/>
      <c r="J400" s="1"/>
      <c r="K400" s="1"/>
    </row>
    <row r="401" spans="1:11" x14ac:dyDescent="0.25">
      <c r="A401" s="38"/>
      <c r="B401" s="49"/>
      <c r="C401" s="49"/>
      <c r="D401" s="49"/>
      <c r="E401" s="49"/>
      <c r="F401" s="49"/>
      <c r="G401" s="93" t="s">
        <v>59</v>
      </c>
      <c r="H401" s="70">
        <f>+H399/D375</f>
        <v>395377.05514772795</v>
      </c>
      <c r="I401" s="1"/>
      <c r="J401" s="1">
        <v>646091.59779614327</v>
      </c>
      <c r="K401" s="2">
        <f>+J401-H401</f>
        <v>250714.54264841531</v>
      </c>
    </row>
    <row r="402" spans="1:11" x14ac:dyDescent="0.25">
      <c r="A402" s="97"/>
      <c r="B402" s="74"/>
      <c r="C402" s="74"/>
      <c r="D402" s="74"/>
      <c r="E402" s="74"/>
      <c r="F402" s="74"/>
      <c r="G402" s="98"/>
      <c r="H402" s="77"/>
      <c r="I402" s="1"/>
      <c r="J402" s="1"/>
      <c r="K402" s="1"/>
    </row>
    <row r="403" spans="1:11" x14ac:dyDescent="0.25">
      <c r="A403" s="38"/>
      <c r="B403" s="49"/>
      <c r="C403" s="49"/>
      <c r="D403" s="49"/>
      <c r="E403" s="49"/>
      <c r="F403" s="94"/>
      <c r="G403" s="49"/>
      <c r="H403" s="70"/>
      <c r="I403" s="1"/>
      <c r="J403" s="1"/>
      <c r="K403" s="1"/>
    </row>
    <row r="404" spans="1:11" ht="19.5" thickBot="1" x14ac:dyDescent="0.35">
      <c r="A404" s="79" t="s">
        <v>81</v>
      </c>
      <c r="B404" s="49"/>
      <c r="C404" s="49"/>
      <c r="D404" s="49"/>
      <c r="E404" s="49"/>
      <c r="F404" s="49"/>
      <c r="G404" s="49"/>
      <c r="H404" s="70"/>
      <c r="I404" s="1"/>
      <c r="J404" s="1"/>
      <c r="K404" s="1"/>
    </row>
    <row r="405" spans="1:11" ht="19.5" thickBot="1" x14ac:dyDescent="0.35">
      <c r="A405" s="79"/>
      <c r="B405" s="49" t="s">
        <v>82</v>
      </c>
      <c r="C405" s="49"/>
      <c r="D405" s="68">
        <f>+H405/D375</f>
        <v>10449.250743189954</v>
      </c>
      <c r="E405" s="49" t="s">
        <v>59</v>
      </c>
      <c r="F405" s="73">
        <v>70</v>
      </c>
      <c r="G405" s="49" t="s">
        <v>83</v>
      </c>
      <c r="H405" s="99">
        <f>F405*H351</f>
        <v>2719500</v>
      </c>
      <c r="I405" s="1"/>
      <c r="J405" s="1"/>
      <c r="K405" s="1"/>
    </row>
    <row r="406" spans="1:11" ht="12.75" customHeight="1" x14ac:dyDescent="0.3">
      <c r="A406" s="79"/>
      <c r="B406" s="49" t="s">
        <v>84</v>
      </c>
      <c r="C406" s="49"/>
      <c r="D406" s="68">
        <v>300000</v>
      </c>
      <c r="E406" s="49" t="s">
        <v>59</v>
      </c>
      <c r="F406" s="67">
        <f>H361</f>
        <v>0</v>
      </c>
      <c r="G406" s="49" t="s">
        <v>35</v>
      </c>
      <c r="H406" s="70">
        <f>+F406*D406</f>
        <v>0</v>
      </c>
      <c r="I406" s="1"/>
      <c r="J406" s="1"/>
      <c r="K406" s="1"/>
    </row>
    <row r="407" spans="1:11" x14ac:dyDescent="0.25">
      <c r="A407" s="38"/>
      <c r="B407" s="49" t="s">
        <v>57</v>
      </c>
      <c r="C407" s="49"/>
      <c r="D407" s="49"/>
      <c r="E407" s="49"/>
      <c r="F407" s="73">
        <f>280*0.92</f>
        <v>257.60000000000002</v>
      </c>
      <c r="G407" s="49" t="s">
        <v>85</v>
      </c>
      <c r="H407" s="70">
        <f>+F407*E376</f>
        <v>63690312.000000007</v>
      </c>
      <c r="I407" s="1"/>
      <c r="J407" s="1"/>
      <c r="K407" s="1"/>
    </row>
    <row r="408" spans="1:11" x14ac:dyDescent="0.25">
      <c r="A408" s="38"/>
      <c r="B408" s="49" t="s">
        <v>46</v>
      </c>
      <c r="C408" s="49"/>
      <c r="D408" s="49"/>
      <c r="E408" s="49"/>
      <c r="F408" s="73">
        <v>280</v>
      </c>
      <c r="G408" s="49" t="s">
        <v>85</v>
      </c>
      <c r="H408" s="70">
        <f>F408*(E377)</f>
        <v>0</v>
      </c>
      <c r="I408" s="1"/>
      <c r="J408" s="1"/>
      <c r="K408" s="1"/>
    </row>
    <row r="409" spans="1:11" x14ac:dyDescent="0.25">
      <c r="A409" s="38"/>
      <c r="B409" s="49" t="s">
        <v>86</v>
      </c>
      <c r="C409" s="49" t="s">
        <v>87</v>
      </c>
      <c r="D409" s="67">
        <f>+D374</f>
        <v>195.19342105263158</v>
      </c>
      <c r="E409" s="32" t="s">
        <v>88</v>
      </c>
      <c r="F409" s="68">
        <v>35000</v>
      </c>
      <c r="G409" s="49" t="s">
        <v>89</v>
      </c>
      <c r="H409" s="70">
        <f>+F409*D374</f>
        <v>6831769.7368421052</v>
      </c>
      <c r="I409" s="1"/>
      <c r="J409" s="1"/>
      <c r="K409" s="1"/>
    </row>
    <row r="410" spans="1:11" x14ac:dyDescent="0.25">
      <c r="A410" s="38"/>
      <c r="B410" s="74" t="s">
        <v>90</v>
      </c>
      <c r="C410" s="74"/>
      <c r="D410" s="74"/>
      <c r="E410" s="74"/>
      <c r="F410" s="87">
        <v>0.2</v>
      </c>
      <c r="G410" s="74" t="s">
        <v>91</v>
      </c>
      <c r="H410" s="77">
        <f>ROUND((H407+H408)*F410,-5)</f>
        <v>12700000</v>
      </c>
      <c r="I410" s="1"/>
      <c r="J410" s="1"/>
      <c r="K410" s="1"/>
    </row>
    <row r="411" spans="1:11" x14ac:dyDescent="0.25">
      <c r="A411" s="38"/>
      <c r="B411" s="49"/>
      <c r="C411" s="49"/>
      <c r="D411" s="49"/>
      <c r="E411" s="49"/>
      <c r="F411" s="49"/>
      <c r="G411" s="93" t="s">
        <v>78</v>
      </c>
      <c r="H411" s="70">
        <f>ROUND(SUM(H405:H410),-5)</f>
        <v>85900000</v>
      </c>
      <c r="I411" s="1"/>
      <c r="J411" s="1"/>
      <c r="K411" s="1"/>
    </row>
    <row r="412" spans="1:11" x14ac:dyDescent="0.25">
      <c r="A412" s="38"/>
      <c r="B412" s="49"/>
      <c r="C412" s="49"/>
      <c r="D412" s="49"/>
      <c r="E412" s="49"/>
      <c r="F412" s="49"/>
      <c r="G412" s="93" t="s">
        <v>80</v>
      </c>
      <c r="H412" s="70">
        <f>+H411/(E376+E377)</f>
        <v>347.42866387591255</v>
      </c>
      <c r="I412" s="1"/>
      <c r="J412" s="1"/>
      <c r="K412" s="1"/>
    </row>
    <row r="413" spans="1:11" x14ac:dyDescent="0.25">
      <c r="A413" s="38"/>
      <c r="B413" s="49"/>
      <c r="C413" s="49"/>
      <c r="D413" s="49"/>
      <c r="E413" s="49"/>
      <c r="F413" s="49"/>
      <c r="G413" s="93" t="s">
        <v>59</v>
      </c>
      <c r="H413" s="70">
        <f>+H411/H354</f>
        <v>330057.23068211693</v>
      </c>
      <c r="I413" s="1"/>
      <c r="J413" s="1">
        <v>486340.6795224977</v>
      </c>
      <c r="K413" s="1"/>
    </row>
    <row r="414" spans="1:11" x14ac:dyDescent="0.25">
      <c r="A414" s="38"/>
      <c r="B414" s="49"/>
      <c r="C414" s="49"/>
      <c r="D414" s="49"/>
      <c r="E414" s="49"/>
      <c r="F414" s="49"/>
      <c r="G414" s="49"/>
      <c r="H414" s="70"/>
      <c r="I414" s="1"/>
      <c r="J414" s="1"/>
      <c r="K414" s="1"/>
    </row>
    <row r="415" spans="1:11" ht="18.75" x14ac:dyDescent="0.3">
      <c r="A415" s="100" t="s">
        <v>92</v>
      </c>
      <c r="B415" s="49"/>
      <c r="C415" s="49"/>
      <c r="D415" s="49"/>
      <c r="E415" s="93" t="s">
        <v>93</v>
      </c>
      <c r="F415" s="80">
        <f>+H395/H411</f>
        <v>5.9899052518582054E-2</v>
      </c>
      <c r="G415" s="93" t="s">
        <v>94</v>
      </c>
      <c r="H415" s="70">
        <f>+H399-H411</f>
        <v>17000000</v>
      </c>
      <c r="I415" s="1"/>
      <c r="J415" s="1"/>
      <c r="K415" s="1"/>
    </row>
    <row r="416" spans="1:11" ht="15.75" thickBot="1" x14ac:dyDescent="0.3">
      <c r="A416" s="101"/>
      <c r="B416" s="102"/>
      <c r="C416" s="102"/>
      <c r="D416" s="103"/>
      <c r="E416" s="103"/>
      <c r="F416" s="103"/>
      <c r="G416" s="102"/>
      <c r="H416" s="104"/>
      <c r="I416" s="1"/>
      <c r="J416" s="1"/>
      <c r="K416" s="1"/>
    </row>
    <row r="417" spans="1:10" ht="24.95" customHeight="1" x14ac:dyDescent="0.25">
      <c r="A417" s="32"/>
      <c r="B417" s="49"/>
      <c r="C417" s="49"/>
      <c r="D417" s="32"/>
      <c r="E417" s="32"/>
      <c r="F417" s="32"/>
      <c r="G417" s="49"/>
      <c r="H417" s="114"/>
      <c r="I417" s="1"/>
      <c r="J417" s="1"/>
    </row>
    <row r="418" spans="1:10" ht="18.95" customHeight="1" thickBot="1" x14ac:dyDescent="0.3">
      <c r="A418" s="115"/>
      <c r="B418" s="115"/>
      <c r="C418" s="115"/>
      <c r="D418" s="115"/>
      <c r="E418" s="115"/>
      <c r="F418" s="115"/>
      <c r="G418" s="115"/>
      <c r="H418" s="116"/>
      <c r="I418" s="1"/>
      <c r="J418" s="1"/>
    </row>
    <row r="419" spans="1:10" ht="15.75" x14ac:dyDescent="0.25">
      <c r="A419" s="1"/>
      <c r="B419" s="117" t="s">
        <v>107</v>
      </c>
      <c r="C419" s="118"/>
      <c r="D419" s="118"/>
      <c r="E419" s="118"/>
      <c r="F419" s="118"/>
      <c r="G419" s="118"/>
      <c r="H419" s="119">
        <f>H82+H150+H218+H286+H354+H4+H11</f>
        <v>2074.5</v>
      </c>
      <c r="I419" s="1"/>
      <c r="J419" s="120">
        <f>J4+J82+M354</f>
        <v>2074.5</v>
      </c>
    </row>
    <row r="420" spans="1:10" ht="15.75" x14ac:dyDescent="0.25">
      <c r="A420" s="1"/>
      <c r="B420" s="117" t="s">
        <v>108</v>
      </c>
      <c r="C420" s="118"/>
      <c r="D420" s="118"/>
      <c r="E420" s="118"/>
      <c r="F420" s="118"/>
      <c r="G420" s="118"/>
      <c r="H420" s="119">
        <f>H419-H423</f>
        <v>1690.7519578947367</v>
      </c>
      <c r="I420" s="1"/>
      <c r="J420" s="121"/>
    </row>
    <row r="421" spans="1:10" ht="15.75" x14ac:dyDescent="0.25">
      <c r="A421" s="1"/>
      <c r="B421" s="117" t="s">
        <v>109</v>
      </c>
      <c r="C421" s="118"/>
      <c r="D421" s="118"/>
      <c r="E421" s="118"/>
      <c r="F421" s="118"/>
      <c r="G421" s="118"/>
      <c r="H421" s="119">
        <f>H84+H152+H220+H288+H356+H13</f>
        <v>159.74804210526315</v>
      </c>
      <c r="I421" s="1"/>
      <c r="J421" s="122">
        <f>J84+M356</f>
        <v>159.74804210526315</v>
      </c>
    </row>
    <row r="422" spans="1:10" ht="15.75" x14ac:dyDescent="0.25">
      <c r="A422" s="1"/>
      <c r="B422" s="117" t="s">
        <v>110</v>
      </c>
      <c r="C422" s="118"/>
      <c r="D422" s="118"/>
      <c r="E422" s="118"/>
      <c r="F422" s="118"/>
      <c r="G422" s="118"/>
      <c r="H422" s="119">
        <f>H85+H153+H221+H289+H357+H14</f>
        <v>224</v>
      </c>
      <c r="I422" s="1"/>
      <c r="J422" s="122">
        <f>J85+M357</f>
        <v>224</v>
      </c>
    </row>
    <row r="423" spans="1:10" ht="16.5" thickBot="1" x14ac:dyDescent="0.3">
      <c r="A423" s="1"/>
      <c r="B423" s="117" t="s">
        <v>111</v>
      </c>
      <c r="C423" s="118"/>
      <c r="D423" s="118"/>
      <c r="E423" s="118"/>
      <c r="F423" s="118"/>
      <c r="G423" s="118"/>
      <c r="H423" s="119">
        <f>H421+H422</f>
        <v>383.74804210526315</v>
      </c>
      <c r="I423" s="1"/>
      <c r="J423" s="123">
        <f>J86+M358</f>
        <v>383.74804210526315</v>
      </c>
    </row>
    <row r="424" spans="1:10" ht="15.75" x14ac:dyDescent="0.25">
      <c r="A424" s="1"/>
      <c r="B424" s="117" t="s">
        <v>141</v>
      </c>
      <c r="C424" s="118"/>
      <c r="D424" s="118"/>
      <c r="E424" s="118"/>
      <c r="F424" s="118"/>
      <c r="G424" s="118"/>
      <c r="H424" s="124">
        <f>(H154+H222+H290+H358)/(H150+H218+H286+H354)</f>
        <v>0.20880374220653278</v>
      </c>
      <c r="I424" s="1"/>
      <c r="J424" s="149"/>
    </row>
    <row r="425" spans="1:10" ht="15.75" x14ac:dyDescent="0.25">
      <c r="A425" s="1"/>
      <c r="B425" s="117" t="s">
        <v>142</v>
      </c>
      <c r="C425" s="118"/>
      <c r="D425" s="118"/>
      <c r="E425" s="118"/>
      <c r="F425" s="118"/>
      <c r="G425" s="118"/>
      <c r="H425" s="124">
        <f>H423/H419</f>
        <v>0.18498338978320711</v>
      </c>
      <c r="I425" s="1"/>
      <c r="J425" s="1"/>
    </row>
    <row r="426" spans="1:10" ht="15.75" x14ac:dyDescent="0.25">
      <c r="A426" s="1"/>
      <c r="B426" s="117" t="s">
        <v>112</v>
      </c>
      <c r="C426" s="118"/>
      <c r="D426" s="118"/>
      <c r="E426" s="118"/>
      <c r="F426" s="118"/>
      <c r="G426" s="118"/>
      <c r="H426" s="119">
        <f>H89+H157+H225+H293+H361+H18</f>
        <v>0</v>
      </c>
      <c r="I426" s="1"/>
      <c r="J426" s="1"/>
    </row>
    <row r="427" spans="1:10" ht="15.75" x14ac:dyDescent="0.25">
      <c r="A427" s="1"/>
      <c r="B427" s="117" t="s">
        <v>113</v>
      </c>
      <c r="C427" s="118"/>
      <c r="D427" s="118"/>
      <c r="E427" s="118"/>
      <c r="F427" s="118"/>
      <c r="G427" s="118"/>
      <c r="H427" s="125">
        <f>H134+H202+H270+H338+H406+H64</f>
        <v>0</v>
      </c>
      <c r="I427" s="1"/>
      <c r="J427" s="1"/>
    </row>
    <row r="429" spans="1:10" hidden="1" x14ac:dyDescent="0.25">
      <c r="A429" s="1"/>
      <c r="B429" s="1"/>
      <c r="C429" s="1"/>
      <c r="D429" s="1"/>
      <c r="E429" s="1"/>
      <c r="F429" s="1"/>
      <c r="G429" s="1"/>
      <c r="H429" s="2"/>
      <c r="I429" s="1"/>
      <c r="J429" s="1"/>
    </row>
    <row r="430" spans="1:10" hidden="1" x14ac:dyDescent="0.25">
      <c r="A430" s="1"/>
      <c r="B430" s="1"/>
      <c r="C430" s="1"/>
      <c r="D430" s="1"/>
      <c r="E430" s="1"/>
      <c r="F430" s="1"/>
      <c r="G430" s="1"/>
      <c r="H430" s="2"/>
      <c r="I430" s="1"/>
      <c r="J430" s="1"/>
    </row>
    <row r="431" spans="1:10" hidden="1" x14ac:dyDescent="0.25">
      <c r="A431" s="1"/>
      <c r="B431" s="1"/>
      <c r="C431" s="1"/>
      <c r="D431" s="1"/>
      <c r="E431" s="1"/>
      <c r="F431" s="1"/>
      <c r="G431" s="1"/>
      <c r="H431" s="2"/>
      <c r="I431" s="1"/>
      <c r="J431" s="1"/>
    </row>
    <row r="432" spans="1:10" hidden="1" x14ac:dyDescent="0.25">
      <c r="A432" s="1"/>
      <c r="B432" s="1"/>
      <c r="C432" s="1"/>
      <c r="D432" s="1"/>
      <c r="E432" s="1"/>
      <c r="F432" s="1"/>
      <c r="G432" s="1"/>
      <c r="H432" s="2"/>
      <c r="I432" s="1"/>
      <c r="J432" s="1"/>
    </row>
    <row r="433" spans="1:8" s="129" customFormat="1" ht="12.95" hidden="1" customHeight="1" x14ac:dyDescent="0.25">
      <c r="A433" s="126"/>
      <c r="B433" s="127" t="s">
        <v>114</v>
      </c>
      <c r="C433" s="128" t="str">
        <f>A9</f>
        <v>Base Model &lt;2 FAR</v>
      </c>
      <c r="D433" s="126"/>
      <c r="E433" s="126"/>
      <c r="H433" s="130"/>
    </row>
    <row r="434" spans="1:8" ht="10.5" hidden="1" customHeight="1" x14ac:dyDescent="0.25">
      <c r="A434" s="131"/>
      <c r="B434" s="131" t="s">
        <v>115</v>
      </c>
      <c r="C434" s="132">
        <f>H8</f>
        <v>157010</v>
      </c>
      <c r="D434" s="131"/>
      <c r="E434" s="131"/>
    </row>
    <row r="435" spans="1:8" ht="10.5" hidden="1" customHeight="1" x14ac:dyDescent="0.25">
      <c r="A435" s="131"/>
      <c r="B435" s="131" t="s">
        <v>116</v>
      </c>
      <c r="C435" s="132">
        <f>H10</f>
        <v>228360</v>
      </c>
      <c r="D435" s="131"/>
      <c r="E435" s="131"/>
    </row>
    <row r="436" spans="1:8" ht="10.5" hidden="1" customHeight="1" x14ac:dyDescent="0.25">
      <c r="A436" s="131"/>
      <c r="B436" s="131" t="s">
        <v>117</v>
      </c>
      <c r="C436" s="132">
        <f>G11</f>
        <v>950</v>
      </c>
      <c r="D436" s="131"/>
      <c r="E436" s="131"/>
    </row>
    <row r="437" spans="1:8" ht="10.5" hidden="1" customHeight="1" x14ac:dyDescent="0.25">
      <c r="A437" s="131"/>
      <c r="B437" s="131" t="s">
        <v>107</v>
      </c>
      <c r="C437" s="132">
        <f>H11</f>
        <v>240.37894736842105</v>
      </c>
      <c r="D437" s="131"/>
      <c r="E437" s="131"/>
    </row>
    <row r="438" spans="1:8" ht="10.5" hidden="1" customHeight="1" x14ac:dyDescent="0.25">
      <c r="A438" s="131"/>
      <c r="B438" s="131" t="s">
        <v>118</v>
      </c>
      <c r="C438" s="132">
        <f>H13</f>
        <v>31.249263157894738</v>
      </c>
      <c r="D438" s="131"/>
      <c r="E438" s="131"/>
    </row>
    <row r="439" spans="1:8" ht="10.5" hidden="1" customHeight="1" x14ac:dyDescent="0.25">
      <c r="A439" s="131"/>
      <c r="B439" s="131" t="s">
        <v>119</v>
      </c>
      <c r="C439" s="132">
        <f>H14</f>
        <v>0</v>
      </c>
      <c r="D439" s="131"/>
      <c r="E439" s="131"/>
    </row>
    <row r="440" spans="1:8" ht="10.5" hidden="1" customHeight="1" x14ac:dyDescent="0.25">
      <c r="A440" s="131"/>
      <c r="B440" s="131" t="s">
        <v>120</v>
      </c>
      <c r="C440" s="132">
        <f>H18</f>
        <v>0</v>
      </c>
      <c r="D440" s="131"/>
      <c r="E440" s="131"/>
    </row>
    <row r="441" spans="1:8" ht="10.5" hidden="1" customHeight="1" x14ac:dyDescent="0.25">
      <c r="A441" s="131"/>
      <c r="B441" s="131"/>
      <c r="C441" s="132"/>
      <c r="D441" s="131"/>
      <c r="E441" s="131"/>
    </row>
    <row r="442" spans="1:8" ht="10.5" hidden="1" customHeight="1" x14ac:dyDescent="0.25">
      <c r="A442" s="131"/>
      <c r="B442" s="133" t="s">
        <v>121</v>
      </c>
      <c r="C442" s="132"/>
      <c r="D442" s="131"/>
      <c r="E442" s="131"/>
    </row>
    <row r="443" spans="1:8" ht="10.5" hidden="1" customHeight="1" x14ac:dyDescent="0.25">
      <c r="A443" s="131"/>
      <c r="B443" s="131" t="s">
        <v>122</v>
      </c>
      <c r="C443" s="134">
        <f>H28</f>
        <v>411837.78906947369</v>
      </c>
      <c r="D443" s="135" t="s">
        <v>123</v>
      </c>
      <c r="E443" s="134">
        <v>1098.26</v>
      </c>
    </row>
    <row r="444" spans="1:8" ht="10.5" hidden="1" customHeight="1" x14ac:dyDescent="0.25">
      <c r="A444" s="131"/>
      <c r="B444" s="131" t="s">
        <v>124</v>
      </c>
      <c r="C444" s="134">
        <f>H29</f>
        <v>0</v>
      </c>
      <c r="D444" s="135" t="s">
        <v>123</v>
      </c>
      <c r="E444" s="134">
        <v>784.93925925925919</v>
      </c>
    </row>
    <row r="445" spans="1:8" ht="10.5" hidden="1" customHeight="1" x14ac:dyDescent="0.25">
      <c r="A445" s="131"/>
      <c r="B445" s="131" t="s">
        <v>125</v>
      </c>
      <c r="C445" s="136">
        <f>H27</f>
        <v>7414902</v>
      </c>
      <c r="D445" s="135" t="s">
        <v>123</v>
      </c>
      <c r="E445" s="134">
        <v>2956.5</v>
      </c>
    </row>
    <row r="446" spans="1:8" ht="10.5" hidden="1" customHeight="1" x14ac:dyDescent="0.25">
      <c r="A446" s="131"/>
      <c r="B446" s="131" t="s">
        <v>126</v>
      </c>
      <c r="C446" s="136">
        <f>H32</f>
        <v>540852.63157894742</v>
      </c>
      <c r="D446" s="135"/>
      <c r="E446" s="134"/>
    </row>
    <row r="447" spans="1:8" ht="10.5" hidden="1" customHeight="1" x14ac:dyDescent="0.25">
      <c r="A447" s="131"/>
      <c r="B447" s="131" t="s">
        <v>127</v>
      </c>
      <c r="C447" s="136">
        <f>H41</f>
        <v>-370745.10000000003</v>
      </c>
      <c r="D447" s="135"/>
      <c r="E447" s="134"/>
    </row>
    <row r="448" spans="1:8" ht="10.5" hidden="1" customHeight="1" x14ac:dyDescent="0.25">
      <c r="A448" s="131"/>
      <c r="B448" s="131" t="s">
        <v>128</v>
      </c>
      <c r="C448" s="136">
        <f>H51</f>
        <v>-2647398.6315410528</v>
      </c>
      <c r="D448" s="131"/>
      <c r="E448" s="131"/>
    </row>
    <row r="449" spans="1:5" ht="10.5" hidden="1" customHeight="1" x14ac:dyDescent="0.25">
      <c r="A449" s="131"/>
      <c r="B449" s="131" t="s">
        <v>129</v>
      </c>
      <c r="C449" s="134">
        <f>SUM(C443:C448)</f>
        <v>5349448.6891073687</v>
      </c>
      <c r="D449" s="131"/>
      <c r="E449" s="131"/>
    </row>
    <row r="450" spans="1:5" ht="10.5" hidden="1" customHeight="1" x14ac:dyDescent="0.25">
      <c r="A450" s="131"/>
      <c r="B450" s="131"/>
      <c r="C450" s="131"/>
      <c r="D450" s="131"/>
      <c r="E450" s="131"/>
    </row>
    <row r="451" spans="1:5" ht="10.5" hidden="1" customHeight="1" x14ac:dyDescent="0.25">
      <c r="A451" s="131"/>
      <c r="B451" s="133" t="s">
        <v>130</v>
      </c>
      <c r="C451" s="131"/>
      <c r="D451" s="131"/>
      <c r="E451" s="131"/>
    </row>
    <row r="452" spans="1:5" ht="10.5" hidden="1" customHeight="1" x14ac:dyDescent="0.25">
      <c r="A452" s="131"/>
      <c r="B452" s="131" t="s">
        <v>131</v>
      </c>
      <c r="C452" s="136">
        <f>H65+H67</f>
        <v>65135483.368421063</v>
      </c>
      <c r="D452" s="131"/>
      <c r="E452" s="131"/>
    </row>
    <row r="453" spans="1:5" ht="10.5" hidden="1" customHeight="1" x14ac:dyDescent="0.25">
      <c r="A453" s="131"/>
      <c r="B453" s="131" t="s">
        <v>132</v>
      </c>
      <c r="C453" s="136">
        <f>H63</f>
        <v>10990700</v>
      </c>
      <c r="D453" s="131"/>
      <c r="E453" s="131"/>
    </row>
    <row r="454" spans="1:5" ht="10.5" hidden="1" customHeight="1" x14ac:dyDescent="0.25">
      <c r="A454" s="131"/>
      <c r="B454" s="131" t="s">
        <v>133</v>
      </c>
      <c r="C454" s="136">
        <f>H68</f>
        <v>11800000</v>
      </c>
      <c r="D454" s="131"/>
      <c r="E454" s="131"/>
    </row>
    <row r="455" spans="1:5" ht="10.5" hidden="1" customHeight="1" x14ac:dyDescent="0.25">
      <c r="A455" s="131"/>
      <c r="B455" s="131" t="s">
        <v>113</v>
      </c>
      <c r="C455" s="136">
        <f>H64</f>
        <v>0</v>
      </c>
      <c r="D455" s="131"/>
      <c r="E455" s="131"/>
    </row>
    <row r="456" spans="1:5" ht="10.5" hidden="1" customHeight="1" x14ac:dyDescent="0.25">
      <c r="A456" s="131"/>
      <c r="B456" s="131" t="s">
        <v>134</v>
      </c>
      <c r="C456" s="136">
        <f>SUM(C452:C455)</f>
        <v>87926183.368421063</v>
      </c>
      <c r="D456" s="135" t="s">
        <v>135</v>
      </c>
      <c r="E456" s="136">
        <f>C456/C437</f>
        <v>365781.54755648982</v>
      </c>
    </row>
    <row r="457" spans="1:5" ht="10.5" hidden="1" customHeight="1" x14ac:dyDescent="0.25">
      <c r="A457" s="131"/>
      <c r="B457" s="131"/>
      <c r="C457" s="131"/>
      <c r="D457" s="131"/>
      <c r="E457" s="131"/>
    </row>
    <row r="458" spans="1:5" ht="10.5" hidden="1" customHeight="1" x14ac:dyDescent="0.25">
      <c r="A458" s="131"/>
      <c r="B458" s="133" t="s">
        <v>136</v>
      </c>
      <c r="C458" s="137">
        <f>C449/C456</f>
        <v>6.0840223971653E-2</v>
      </c>
      <c r="D458" s="131"/>
      <c r="E458" s="131"/>
    </row>
    <row r="459" spans="1:5" ht="10.5" hidden="1" customHeight="1" x14ac:dyDescent="0.25">
      <c r="A459" s="131"/>
      <c r="B459" s="131"/>
      <c r="C459" s="131"/>
      <c r="D459" s="131"/>
      <c r="E459" s="131"/>
    </row>
    <row r="460" spans="1:5" ht="10.5" hidden="1" customHeight="1" x14ac:dyDescent="0.25">
      <c r="A460" s="131"/>
      <c r="B460" s="131"/>
      <c r="C460" s="131"/>
      <c r="D460" s="131"/>
      <c r="E460" s="131"/>
    </row>
    <row r="461" spans="1:5" ht="10.5" hidden="1" customHeight="1" x14ac:dyDescent="0.25">
      <c r="A461" s="131"/>
      <c r="B461" s="131"/>
      <c r="C461" s="131"/>
      <c r="D461" s="131"/>
      <c r="E461" s="131"/>
    </row>
    <row r="462" spans="1:5" ht="10.5" hidden="1" customHeight="1" x14ac:dyDescent="0.25">
      <c r="A462" s="131"/>
      <c r="B462" s="131"/>
      <c r="C462" s="131"/>
      <c r="D462" s="131"/>
      <c r="E462" s="131"/>
    </row>
    <row r="463" spans="1:5" ht="10.5" hidden="1" customHeight="1" x14ac:dyDescent="0.25">
      <c r="A463" s="131"/>
      <c r="B463" s="131"/>
      <c r="C463" s="131"/>
      <c r="D463" s="131"/>
      <c r="E463" s="131"/>
    </row>
    <row r="464" spans="1:5" ht="10.5" hidden="1" customHeight="1" x14ac:dyDescent="0.25">
      <c r="A464" s="131"/>
      <c r="B464" s="131"/>
      <c r="C464" s="131"/>
      <c r="D464" s="131"/>
      <c r="E464" s="131"/>
    </row>
    <row r="465" spans="1:5" ht="10.5" hidden="1" customHeight="1" x14ac:dyDescent="0.25">
      <c r="A465" s="131"/>
      <c r="B465" s="131"/>
      <c r="C465" s="131"/>
      <c r="D465" s="131"/>
      <c r="E465" s="131"/>
    </row>
    <row r="466" spans="1:5" ht="10.5" hidden="1" customHeight="1" x14ac:dyDescent="0.25">
      <c r="A466" s="131"/>
      <c r="B466" s="131"/>
      <c r="C466" s="131"/>
      <c r="D466" s="131"/>
      <c r="E466" s="131"/>
    </row>
    <row r="467" spans="1:5" ht="10.5" hidden="1" customHeight="1" x14ac:dyDescent="0.25">
      <c r="A467" s="131"/>
      <c r="B467" s="131"/>
      <c r="C467" s="131"/>
      <c r="D467" s="131"/>
      <c r="E467" s="131"/>
    </row>
    <row r="468" spans="1:5" ht="10.5" hidden="1" customHeight="1" x14ac:dyDescent="0.25">
      <c r="A468" s="131"/>
      <c r="B468" s="131"/>
      <c r="C468" s="131"/>
      <c r="D468" s="131"/>
      <c r="E468" s="131"/>
    </row>
    <row r="469" spans="1:5" ht="10.5" hidden="1" customHeight="1" x14ac:dyDescent="0.25">
      <c r="A469" s="131"/>
      <c r="B469" s="131"/>
      <c r="C469" s="131"/>
      <c r="D469" s="131"/>
      <c r="E469" s="131"/>
    </row>
    <row r="470" spans="1:5" ht="10.5" hidden="1" customHeight="1" x14ac:dyDescent="0.25">
      <c r="A470" s="131"/>
      <c r="B470" s="131"/>
      <c r="C470" s="131"/>
      <c r="D470" s="131"/>
      <c r="E470" s="131"/>
    </row>
    <row r="471" spans="1:5" ht="10.5" hidden="1" customHeight="1" x14ac:dyDescent="0.25">
      <c r="A471" s="131"/>
      <c r="B471" s="131"/>
      <c r="C471" s="131"/>
      <c r="D471" s="131"/>
      <c r="E471" s="131"/>
    </row>
    <row r="472" spans="1:5" ht="10.5" hidden="1" customHeight="1" x14ac:dyDescent="0.25">
      <c r="A472" s="131"/>
      <c r="B472" s="131"/>
      <c r="C472" s="131"/>
      <c r="D472" s="131"/>
      <c r="E472" s="131"/>
    </row>
    <row r="473" spans="1:5" ht="10.5" hidden="1" customHeight="1" x14ac:dyDescent="0.25">
      <c r="A473" s="131"/>
      <c r="B473" s="131"/>
      <c r="C473" s="131"/>
      <c r="D473" s="131"/>
      <c r="E473" s="131"/>
    </row>
    <row r="474" spans="1:5" ht="10.5" hidden="1" customHeight="1" x14ac:dyDescent="0.25">
      <c r="A474" s="131"/>
      <c r="B474" s="131"/>
      <c r="C474" s="131"/>
      <c r="D474" s="131"/>
      <c r="E474" s="131"/>
    </row>
    <row r="475" spans="1:5" ht="10.5" hidden="1" customHeight="1" x14ac:dyDescent="0.25">
      <c r="A475" s="131"/>
      <c r="B475" s="131"/>
      <c r="C475" s="131"/>
      <c r="D475" s="131"/>
      <c r="E475" s="131"/>
    </row>
    <row r="476" spans="1:5" ht="10.5" hidden="1" customHeight="1" x14ac:dyDescent="0.25">
      <c r="A476" s="131"/>
      <c r="B476" s="131"/>
      <c r="C476" s="131"/>
      <c r="D476" s="131"/>
      <c r="E476" s="131"/>
    </row>
    <row r="477" spans="1:5" ht="10.5" hidden="1" customHeight="1" x14ac:dyDescent="0.25">
      <c r="A477" s="131"/>
      <c r="B477" s="131"/>
      <c r="C477" s="131"/>
      <c r="D477" s="131"/>
      <c r="E477" s="131"/>
    </row>
    <row r="478" spans="1:5" ht="10.5" hidden="1" customHeight="1" x14ac:dyDescent="0.25">
      <c r="A478" s="131"/>
      <c r="B478" s="131"/>
      <c r="C478" s="131"/>
      <c r="D478" s="131"/>
      <c r="E478" s="131"/>
    </row>
    <row r="479" spans="1:5" ht="10.5" hidden="1" customHeight="1" x14ac:dyDescent="0.25">
      <c r="A479" s="131"/>
      <c r="B479" s="131"/>
      <c r="C479" s="131"/>
      <c r="D479" s="131"/>
      <c r="E479" s="131"/>
    </row>
    <row r="480" spans="1:5" ht="10.5" hidden="1" customHeight="1" x14ac:dyDescent="0.25">
      <c r="A480" s="131"/>
      <c r="B480" s="131"/>
      <c r="C480" s="131"/>
      <c r="D480" s="131"/>
      <c r="E480" s="131"/>
    </row>
    <row r="481" spans="1:5" ht="10.5" hidden="1" customHeight="1" x14ac:dyDescent="0.25">
      <c r="A481" s="131"/>
      <c r="B481" s="131"/>
      <c r="C481" s="131"/>
      <c r="D481" s="131"/>
      <c r="E481" s="131"/>
    </row>
    <row r="482" spans="1:5" ht="10.5" hidden="1" customHeight="1" x14ac:dyDescent="0.25">
      <c r="A482" s="131"/>
      <c r="B482" s="131"/>
      <c r="C482" s="131"/>
      <c r="D482" s="131"/>
      <c r="E482" s="131"/>
    </row>
    <row r="483" spans="1:5" ht="10.5" hidden="1" customHeight="1" x14ac:dyDescent="0.25">
      <c r="A483" s="131"/>
      <c r="B483" s="131"/>
      <c r="C483" s="131"/>
      <c r="D483" s="131"/>
      <c r="E483" s="131"/>
    </row>
    <row r="484" spans="1:5" ht="10.5" hidden="1" customHeight="1" x14ac:dyDescent="0.25">
      <c r="A484" s="131"/>
      <c r="B484" s="131"/>
      <c r="C484" s="131"/>
      <c r="D484" s="131"/>
      <c r="E484" s="131"/>
    </row>
    <row r="485" spans="1:5" ht="10.5" hidden="1" customHeight="1" x14ac:dyDescent="0.25">
      <c r="A485" s="131"/>
      <c r="B485" s="131"/>
      <c r="C485" s="131"/>
      <c r="D485" s="131"/>
      <c r="E485" s="131"/>
    </row>
    <row r="486" spans="1:5" ht="10.5" hidden="1" customHeight="1" x14ac:dyDescent="0.25">
      <c r="A486" s="131"/>
      <c r="B486" s="131"/>
      <c r="C486" s="131"/>
      <c r="D486" s="131"/>
      <c r="E486" s="131"/>
    </row>
    <row r="487" spans="1:5" ht="10.5" hidden="1" customHeight="1" x14ac:dyDescent="0.25">
      <c r="A487" s="131"/>
      <c r="B487" s="131"/>
      <c r="C487" s="131"/>
      <c r="D487" s="131"/>
      <c r="E487" s="131"/>
    </row>
    <row r="488" spans="1:5" ht="10.5" hidden="1" customHeight="1" x14ac:dyDescent="0.25">
      <c r="A488" s="131"/>
      <c r="B488" s="131"/>
      <c r="C488" s="131"/>
      <c r="D488" s="131"/>
      <c r="E488" s="131"/>
    </row>
    <row r="489" spans="1:5" ht="10.5" hidden="1" customHeight="1" x14ac:dyDescent="0.25">
      <c r="A489" s="131"/>
      <c r="B489" s="131"/>
      <c r="C489" s="131"/>
      <c r="D489" s="131"/>
      <c r="E489" s="131"/>
    </row>
    <row r="490" spans="1:5" ht="10.5" hidden="1" customHeight="1" x14ac:dyDescent="0.25">
      <c r="A490" s="131"/>
      <c r="B490" s="131"/>
      <c r="C490" s="131"/>
      <c r="D490" s="131"/>
      <c r="E490" s="131"/>
    </row>
    <row r="491" spans="1:5" ht="10.5" hidden="1" customHeight="1" x14ac:dyDescent="0.25">
      <c r="A491" s="131"/>
      <c r="B491" s="131"/>
      <c r="C491" s="131"/>
      <c r="D491" s="131"/>
      <c r="E491" s="131"/>
    </row>
    <row r="492" spans="1:5" ht="10.5" hidden="1" customHeight="1" x14ac:dyDescent="0.25">
      <c r="A492" s="131"/>
      <c r="B492" s="131"/>
      <c r="C492" s="131"/>
      <c r="D492" s="131"/>
      <c r="E492" s="131"/>
    </row>
    <row r="493" spans="1:5" ht="10.5" hidden="1" customHeight="1" x14ac:dyDescent="0.25">
      <c r="A493" s="131"/>
      <c r="B493" s="131"/>
      <c r="C493" s="131"/>
      <c r="D493" s="131"/>
      <c r="E493" s="131"/>
    </row>
    <row r="494" spans="1:5" ht="10.5" hidden="1" customHeight="1" x14ac:dyDescent="0.25">
      <c r="A494" s="131"/>
      <c r="B494" s="131"/>
      <c r="C494" s="131"/>
      <c r="D494" s="131"/>
      <c r="E494" s="131"/>
    </row>
    <row r="495" spans="1:5" ht="10.5" hidden="1" customHeight="1" x14ac:dyDescent="0.25">
      <c r="A495" s="131"/>
      <c r="B495" s="131"/>
      <c r="C495" s="131"/>
      <c r="D495" s="131"/>
      <c r="E495" s="131"/>
    </row>
    <row r="496" spans="1:5" ht="10.5" hidden="1" customHeight="1" x14ac:dyDescent="0.25">
      <c r="A496" s="131"/>
      <c r="B496" s="131"/>
      <c r="C496" s="131"/>
      <c r="D496" s="131"/>
      <c r="E496" s="131"/>
    </row>
    <row r="497" spans="1:8" ht="10.5" hidden="1" customHeight="1" x14ac:dyDescent="0.25">
      <c r="A497" s="131"/>
      <c r="B497" s="131"/>
      <c r="C497" s="131"/>
      <c r="D497" s="131"/>
      <c r="E497" s="131"/>
    </row>
    <row r="498" spans="1:8" ht="10.5" hidden="1" customHeight="1" x14ac:dyDescent="0.25">
      <c r="A498" s="131"/>
      <c r="B498" s="131"/>
      <c r="C498" s="131"/>
      <c r="D498" s="131"/>
      <c r="E498" s="131"/>
      <c r="F498" s="1"/>
      <c r="G498" s="1"/>
      <c r="H498" s="2"/>
    </row>
    <row r="499" spans="1:8" ht="10.5" hidden="1" customHeight="1" x14ac:dyDescent="0.25">
      <c r="A499" s="131"/>
      <c r="B499" s="131"/>
      <c r="C499" s="131"/>
      <c r="D499" s="131"/>
      <c r="E499" s="131"/>
      <c r="F499" s="1"/>
      <c r="G499" s="1"/>
      <c r="H499" s="2"/>
    </row>
    <row r="500" spans="1:8" ht="10.5" hidden="1" customHeight="1" x14ac:dyDescent="0.25">
      <c r="A500" s="131"/>
      <c r="B500" s="131"/>
      <c r="C500" s="131"/>
      <c r="D500" s="131"/>
      <c r="E500" s="131"/>
      <c r="F500" s="1"/>
      <c r="G500" s="1"/>
      <c r="H500" s="2"/>
    </row>
    <row r="501" spans="1:8" ht="10.5" hidden="1" customHeight="1" x14ac:dyDescent="0.25">
      <c r="A501" s="131"/>
      <c r="B501" s="131"/>
      <c r="C501" s="131"/>
      <c r="D501" s="131"/>
      <c r="E501" s="131"/>
      <c r="F501" s="1"/>
      <c r="G501" s="1"/>
      <c r="H501" s="2"/>
    </row>
    <row r="502" spans="1:8" ht="10.5" hidden="1" customHeight="1" x14ac:dyDescent="0.25">
      <c r="A502" s="131"/>
      <c r="B502" s="133"/>
      <c r="C502" s="138"/>
      <c r="D502" s="131"/>
      <c r="E502" s="131"/>
      <c r="F502" s="1"/>
      <c r="G502" s="1"/>
      <c r="H502" s="2"/>
    </row>
    <row r="503" spans="1:8" s="129" customFormat="1" ht="12.95" hidden="1" customHeight="1" x14ac:dyDescent="0.25">
      <c r="A503" s="126"/>
      <c r="B503" s="127" t="s">
        <v>114</v>
      </c>
      <c r="C503" s="128" t="str">
        <f>A79</f>
        <v>Base IDP 2.0 FAR</v>
      </c>
      <c r="D503" s="126"/>
      <c r="E503" s="126"/>
      <c r="H503" s="130"/>
    </row>
    <row r="504" spans="1:8" ht="10.5" hidden="1" customHeight="1" x14ac:dyDescent="0.25">
      <c r="A504" s="131"/>
      <c r="B504" s="131" t="s">
        <v>115</v>
      </c>
      <c r="C504" s="132">
        <f>H79</f>
        <v>93255</v>
      </c>
      <c r="D504" s="131"/>
      <c r="E504" s="131"/>
      <c r="F504" s="1"/>
      <c r="G504" s="1"/>
      <c r="H504" s="2"/>
    </row>
    <row r="505" spans="1:8" ht="10.5" hidden="1" customHeight="1" x14ac:dyDescent="0.25">
      <c r="A505" s="131"/>
      <c r="B505" s="131" t="s">
        <v>116</v>
      </c>
      <c r="C505" s="132">
        <f>H81</f>
        <v>181135</v>
      </c>
      <c r="D505" s="131"/>
      <c r="E505" s="131"/>
      <c r="F505" s="1"/>
      <c r="G505" s="1"/>
      <c r="H505" s="2"/>
    </row>
    <row r="506" spans="1:8" ht="10.5" hidden="1" customHeight="1" x14ac:dyDescent="0.25">
      <c r="A506" s="131"/>
      <c r="B506" s="131" t="s">
        <v>117</v>
      </c>
      <c r="C506" s="132">
        <f>G82</f>
        <v>950</v>
      </c>
      <c r="D506" s="131"/>
      <c r="E506" s="131"/>
      <c r="F506" s="1"/>
      <c r="G506" s="1"/>
      <c r="H506" s="2"/>
    </row>
    <row r="507" spans="1:8" ht="10.5" hidden="1" customHeight="1" x14ac:dyDescent="0.25">
      <c r="A507" s="131"/>
      <c r="B507" s="131" t="s">
        <v>107</v>
      </c>
      <c r="C507" s="132">
        <f>H82</f>
        <v>190.66842105263157</v>
      </c>
      <c r="D507" s="131"/>
      <c r="E507" s="131"/>
      <c r="F507" s="1"/>
      <c r="G507" s="1"/>
      <c r="H507" s="2"/>
    </row>
    <row r="508" spans="1:8" ht="10.5" hidden="1" customHeight="1" x14ac:dyDescent="0.25">
      <c r="A508" s="131"/>
      <c r="B508" s="131" t="s">
        <v>118</v>
      </c>
      <c r="C508" s="132">
        <f>H84</f>
        <v>25</v>
      </c>
      <c r="D508" s="131"/>
      <c r="E508" s="131"/>
      <c r="F508" s="1"/>
      <c r="G508" s="1"/>
      <c r="H508" s="2"/>
    </row>
    <row r="509" spans="1:8" ht="10.5" hidden="1" customHeight="1" x14ac:dyDescent="0.25">
      <c r="A509" s="131"/>
      <c r="B509" s="131" t="s">
        <v>119</v>
      </c>
      <c r="C509" s="132">
        <f>H85</f>
        <v>0</v>
      </c>
      <c r="D509" s="131"/>
      <c r="E509" s="131"/>
      <c r="F509" s="1"/>
      <c r="G509" s="1"/>
      <c r="H509" s="2"/>
    </row>
    <row r="510" spans="1:8" ht="10.5" hidden="1" customHeight="1" x14ac:dyDescent="0.25">
      <c r="A510" s="131"/>
      <c r="B510" s="131" t="s">
        <v>120</v>
      </c>
      <c r="C510" s="132">
        <f>H89</f>
        <v>0</v>
      </c>
      <c r="D510" s="131"/>
      <c r="E510" s="131"/>
      <c r="F510" s="1"/>
      <c r="G510" s="1"/>
      <c r="H510" s="2"/>
    </row>
    <row r="511" spans="1:8" ht="10.5" hidden="1" customHeight="1" x14ac:dyDescent="0.25">
      <c r="A511" s="131"/>
      <c r="B511" s="131"/>
      <c r="C511" s="132"/>
      <c r="D511" s="131"/>
      <c r="E511" s="131"/>
      <c r="F511" s="1"/>
      <c r="G511" s="1"/>
      <c r="H511" s="2"/>
    </row>
    <row r="512" spans="1:8" ht="10.5" hidden="1" customHeight="1" x14ac:dyDescent="0.25">
      <c r="A512" s="131"/>
      <c r="B512" s="133" t="s">
        <v>121</v>
      </c>
      <c r="C512" s="132"/>
      <c r="D512" s="131"/>
      <c r="E512" s="131"/>
      <c r="F512" s="1"/>
      <c r="G512" s="1"/>
      <c r="H512" s="2"/>
    </row>
    <row r="513" spans="1:8" ht="10.5" hidden="1" customHeight="1" x14ac:dyDescent="0.25">
      <c r="A513" s="131"/>
      <c r="B513" s="131" t="s">
        <v>122</v>
      </c>
      <c r="C513" s="134">
        <f>H98</f>
        <v>329478</v>
      </c>
      <c r="D513" s="135" t="s">
        <v>123</v>
      </c>
      <c r="E513" s="134">
        <v>1098.26</v>
      </c>
      <c r="F513" s="1"/>
      <c r="G513" s="1"/>
      <c r="H513" s="2"/>
    </row>
    <row r="514" spans="1:8" ht="10.5" hidden="1" customHeight="1" x14ac:dyDescent="0.25">
      <c r="A514" s="131"/>
      <c r="B514" s="131" t="s">
        <v>124</v>
      </c>
      <c r="C514" s="134">
        <f>H99</f>
        <v>0</v>
      </c>
      <c r="D514" s="135" t="s">
        <v>123</v>
      </c>
      <c r="E514" s="134">
        <v>784.93925925925919</v>
      </c>
    </row>
    <row r="515" spans="1:8" ht="10.5" hidden="1" customHeight="1" x14ac:dyDescent="0.25">
      <c r="A515" s="131"/>
      <c r="B515" s="131" t="s">
        <v>125</v>
      </c>
      <c r="C515" s="136">
        <f>H97</f>
        <v>5889348</v>
      </c>
      <c r="D515" s="135" t="s">
        <v>123</v>
      </c>
      <c r="E515" s="134">
        <v>2956.5</v>
      </c>
    </row>
    <row r="516" spans="1:8" ht="10.5" hidden="1" customHeight="1" x14ac:dyDescent="0.25">
      <c r="A516" s="131"/>
      <c r="B516" s="131" t="s">
        <v>126</v>
      </c>
      <c r="C516" s="136">
        <f>H102</f>
        <v>429003.94736842095</v>
      </c>
      <c r="D516" s="135"/>
      <c r="E516" s="134"/>
    </row>
    <row r="517" spans="1:8" ht="10.5" hidden="1" customHeight="1" x14ac:dyDescent="0.25">
      <c r="A517" s="131"/>
      <c r="B517" s="131" t="s">
        <v>127</v>
      </c>
      <c r="C517" s="136">
        <f>H111</f>
        <v>-294467.40000000002</v>
      </c>
      <c r="D517" s="135"/>
      <c r="E517" s="134"/>
    </row>
    <row r="518" spans="1:8" ht="10.5" hidden="1" customHeight="1" x14ac:dyDescent="0.25">
      <c r="A518" s="131"/>
      <c r="B518" s="131" t="s">
        <v>128</v>
      </c>
      <c r="C518" s="136">
        <f>H121</f>
        <v>-2100914.320723684</v>
      </c>
      <c r="D518" s="131"/>
      <c r="E518" s="131"/>
    </row>
    <row r="519" spans="1:8" ht="10.5" hidden="1" customHeight="1" x14ac:dyDescent="0.25">
      <c r="A519" s="131"/>
      <c r="B519" s="131" t="s">
        <v>129</v>
      </c>
      <c r="C519" s="134">
        <f>SUM(C513:C518)</f>
        <v>4252448.2266447358</v>
      </c>
      <c r="D519" s="131"/>
      <c r="E519" s="131"/>
    </row>
    <row r="520" spans="1:8" ht="10.5" hidden="1" customHeight="1" x14ac:dyDescent="0.25">
      <c r="A520" s="131"/>
      <c r="B520" s="131"/>
      <c r="C520" s="131"/>
      <c r="D520" s="131"/>
      <c r="E520" s="131"/>
    </row>
    <row r="521" spans="1:8" ht="10.5" hidden="1" customHeight="1" x14ac:dyDescent="0.25">
      <c r="A521" s="131"/>
      <c r="B521" s="133" t="s">
        <v>130</v>
      </c>
      <c r="C521" s="131"/>
      <c r="D521" s="131"/>
      <c r="E521" s="131"/>
    </row>
    <row r="522" spans="1:8" ht="10.5" hidden="1" customHeight="1" x14ac:dyDescent="0.25">
      <c r="A522" s="131"/>
      <c r="B522" s="131" t="s">
        <v>131</v>
      </c>
      <c r="C522" s="136">
        <f>H135+H137</f>
        <v>51665422.052631587</v>
      </c>
      <c r="D522" s="131"/>
      <c r="E522" s="131"/>
    </row>
    <row r="523" spans="1:8" ht="10.5" hidden="1" customHeight="1" x14ac:dyDescent="0.25">
      <c r="A523" s="131"/>
      <c r="B523" s="131" t="s">
        <v>132</v>
      </c>
      <c r="C523" s="136">
        <f>H133</f>
        <v>6527850</v>
      </c>
      <c r="D523" s="131"/>
      <c r="E523" s="131"/>
    </row>
    <row r="524" spans="1:8" ht="10.5" hidden="1" customHeight="1" x14ac:dyDescent="0.25">
      <c r="A524" s="131"/>
      <c r="B524" s="131" t="s">
        <v>133</v>
      </c>
      <c r="C524" s="136">
        <f>H138</f>
        <v>9300000</v>
      </c>
      <c r="D524" s="131"/>
      <c r="E524" s="131"/>
    </row>
    <row r="525" spans="1:8" ht="10.5" hidden="1" customHeight="1" x14ac:dyDescent="0.25">
      <c r="A525" s="131"/>
      <c r="B525" s="131" t="s">
        <v>113</v>
      </c>
      <c r="C525" s="136">
        <f>H134</f>
        <v>0</v>
      </c>
      <c r="D525" s="131"/>
      <c r="E525" s="131"/>
    </row>
    <row r="526" spans="1:8" ht="10.5" hidden="1" customHeight="1" x14ac:dyDescent="0.25">
      <c r="A526" s="131"/>
      <c r="B526" s="131" t="s">
        <v>134</v>
      </c>
      <c r="C526" s="136">
        <f>SUM(C522:C525)</f>
        <v>67493272.052631587</v>
      </c>
      <c r="D526" s="135" t="s">
        <v>135</v>
      </c>
      <c r="E526" s="136">
        <f>C526/C507</f>
        <v>353982.43547630229</v>
      </c>
    </row>
    <row r="527" spans="1:8" ht="10.5" hidden="1" customHeight="1" x14ac:dyDescent="0.25">
      <c r="A527" s="131"/>
      <c r="B527" s="131"/>
      <c r="C527" s="131"/>
      <c r="D527" s="131"/>
      <c r="E527" s="131"/>
    </row>
    <row r="528" spans="1:8" ht="10.5" hidden="1" customHeight="1" x14ac:dyDescent="0.25">
      <c r="A528" s="131"/>
      <c r="B528" s="133" t="s">
        <v>136</v>
      </c>
      <c r="C528" s="137">
        <f>C519/C526</f>
        <v>6.3005512954367598E-2</v>
      </c>
      <c r="D528" s="131"/>
      <c r="E528" s="131"/>
    </row>
    <row r="529" spans="1:5" ht="10.5" hidden="1" customHeight="1" x14ac:dyDescent="0.25">
      <c r="A529" s="131"/>
      <c r="B529" s="131"/>
      <c r="C529" s="131"/>
      <c r="D529" s="131"/>
      <c r="E529" s="131"/>
    </row>
    <row r="530" spans="1:5" ht="10.5" hidden="1" customHeight="1" x14ac:dyDescent="0.25">
      <c r="A530" s="131"/>
      <c r="B530" s="131"/>
      <c r="C530" s="131"/>
      <c r="D530" s="131"/>
      <c r="E530" s="131"/>
    </row>
    <row r="531" spans="1:5" ht="10.5" hidden="1" customHeight="1" x14ac:dyDescent="0.25">
      <c r="A531" s="131"/>
      <c r="B531" s="131"/>
      <c r="C531" s="131"/>
      <c r="D531" s="131"/>
      <c r="E531" s="131"/>
    </row>
    <row r="532" spans="1:5" ht="10.5" hidden="1" customHeight="1" x14ac:dyDescent="0.25">
      <c r="A532" s="131"/>
      <c r="B532" s="131"/>
      <c r="C532" s="131"/>
      <c r="D532" s="131"/>
      <c r="E532" s="131"/>
    </row>
    <row r="533" spans="1:5" ht="10.5" hidden="1" customHeight="1" x14ac:dyDescent="0.25">
      <c r="A533" s="131"/>
      <c r="B533" s="131"/>
      <c r="C533" s="131"/>
      <c r="D533" s="131"/>
      <c r="E533" s="131"/>
    </row>
    <row r="534" spans="1:5" ht="10.5" hidden="1" customHeight="1" x14ac:dyDescent="0.25">
      <c r="A534" s="131"/>
      <c r="B534" s="131"/>
      <c r="C534" s="131"/>
      <c r="D534" s="131"/>
      <c r="E534" s="131"/>
    </row>
    <row r="535" spans="1:5" ht="10.5" hidden="1" customHeight="1" x14ac:dyDescent="0.25">
      <c r="A535" s="131"/>
      <c r="B535" s="131"/>
      <c r="C535" s="131"/>
      <c r="D535" s="131"/>
      <c r="E535" s="131"/>
    </row>
    <row r="536" spans="1:5" ht="10.5" hidden="1" customHeight="1" x14ac:dyDescent="0.25">
      <c r="A536" s="131"/>
      <c r="B536" s="131"/>
      <c r="C536" s="131"/>
      <c r="D536" s="131"/>
      <c r="E536" s="131"/>
    </row>
    <row r="537" spans="1:5" ht="10.5" hidden="1" customHeight="1" x14ac:dyDescent="0.25">
      <c r="A537" s="131"/>
      <c r="B537" s="131"/>
      <c r="C537" s="131"/>
      <c r="D537" s="131"/>
      <c r="E537" s="131"/>
    </row>
    <row r="538" spans="1:5" ht="10.5" hidden="1" customHeight="1" x14ac:dyDescent="0.25">
      <c r="A538" s="131"/>
      <c r="B538" s="131"/>
      <c r="C538" s="131"/>
      <c r="D538" s="131"/>
      <c r="E538" s="131"/>
    </row>
    <row r="539" spans="1:5" ht="10.5" hidden="1" customHeight="1" x14ac:dyDescent="0.25">
      <c r="A539" s="131"/>
      <c r="B539" s="131"/>
      <c r="C539" s="131"/>
      <c r="D539" s="131"/>
      <c r="E539" s="131"/>
    </row>
    <row r="540" spans="1:5" ht="10.5" hidden="1" customHeight="1" x14ac:dyDescent="0.25">
      <c r="A540" s="131"/>
      <c r="B540" s="131"/>
      <c r="C540" s="131"/>
      <c r="D540" s="131"/>
      <c r="E540" s="131"/>
    </row>
    <row r="541" spans="1:5" ht="10.5" hidden="1" customHeight="1" x14ac:dyDescent="0.25">
      <c r="A541" s="131"/>
      <c r="B541" s="131"/>
      <c r="C541" s="131"/>
      <c r="D541" s="131"/>
      <c r="E541" s="131"/>
    </row>
    <row r="542" spans="1:5" ht="10.5" hidden="1" customHeight="1" x14ac:dyDescent="0.25">
      <c r="A542" s="131"/>
      <c r="B542" s="131"/>
      <c r="C542" s="131"/>
      <c r="D542" s="131"/>
      <c r="E542" s="131"/>
    </row>
    <row r="543" spans="1:5" ht="10.5" hidden="1" customHeight="1" x14ac:dyDescent="0.25">
      <c r="A543" s="131"/>
      <c r="B543" s="131"/>
      <c r="C543" s="131"/>
      <c r="D543" s="131"/>
      <c r="E543" s="131"/>
    </row>
    <row r="544" spans="1:5" ht="10.5" hidden="1" customHeight="1" x14ac:dyDescent="0.25">
      <c r="A544" s="131"/>
      <c r="B544" s="131"/>
      <c r="C544" s="131"/>
      <c r="D544" s="131"/>
      <c r="E544" s="131"/>
    </row>
    <row r="545" spans="1:5" ht="10.5" hidden="1" customHeight="1" x14ac:dyDescent="0.25">
      <c r="A545" s="131"/>
      <c r="B545" s="131"/>
      <c r="C545" s="131"/>
      <c r="D545" s="131"/>
      <c r="E545" s="131"/>
    </row>
    <row r="546" spans="1:5" ht="10.5" hidden="1" customHeight="1" x14ac:dyDescent="0.25">
      <c r="A546" s="131"/>
      <c r="B546" s="131"/>
      <c r="C546" s="131"/>
      <c r="D546" s="131"/>
      <c r="E546" s="131"/>
    </row>
    <row r="547" spans="1:5" ht="10.5" hidden="1" customHeight="1" x14ac:dyDescent="0.25">
      <c r="A547" s="131"/>
      <c r="B547" s="131"/>
      <c r="C547" s="131"/>
      <c r="D547" s="131"/>
      <c r="E547" s="131"/>
    </row>
    <row r="548" spans="1:5" ht="10.5" hidden="1" customHeight="1" x14ac:dyDescent="0.25">
      <c r="A548" s="131"/>
      <c r="B548" s="131"/>
      <c r="C548" s="131"/>
      <c r="D548" s="131"/>
      <c r="E548" s="131"/>
    </row>
    <row r="549" spans="1:5" ht="10.5" hidden="1" customHeight="1" x14ac:dyDescent="0.25">
      <c r="A549" s="131"/>
      <c r="B549" s="131"/>
      <c r="C549" s="131"/>
      <c r="D549" s="131"/>
      <c r="E549" s="131"/>
    </row>
    <row r="550" spans="1:5" ht="10.5" hidden="1" customHeight="1" x14ac:dyDescent="0.25">
      <c r="A550" s="131"/>
      <c r="B550" s="131"/>
      <c r="C550" s="131"/>
      <c r="D550" s="131"/>
      <c r="E550" s="131"/>
    </row>
    <row r="551" spans="1:5" ht="10.5" hidden="1" customHeight="1" x14ac:dyDescent="0.25">
      <c r="A551" s="131"/>
      <c r="B551" s="131"/>
      <c r="C551" s="131"/>
      <c r="D551" s="131"/>
      <c r="E551" s="131"/>
    </row>
    <row r="552" spans="1:5" ht="10.5" hidden="1" customHeight="1" x14ac:dyDescent="0.25">
      <c r="A552" s="131"/>
      <c r="B552" s="131"/>
      <c r="C552" s="131"/>
      <c r="D552" s="131"/>
      <c r="E552" s="131"/>
    </row>
    <row r="553" spans="1:5" ht="10.5" hidden="1" customHeight="1" x14ac:dyDescent="0.25">
      <c r="A553" s="131"/>
      <c r="B553" s="131"/>
      <c r="C553" s="131"/>
      <c r="D553" s="131"/>
      <c r="E553" s="131"/>
    </row>
    <row r="554" spans="1:5" ht="10.5" hidden="1" customHeight="1" x14ac:dyDescent="0.25">
      <c r="A554" s="131"/>
      <c r="B554" s="131"/>
      <c r="C554" s="131"/>
      <c r="D554" s="131"/>
      <c r="E554" s="131"/>
    </row>
    <row r="555" spans="1:5" ht="10.5" hidden="1" customHeight="1" x14ac:dyDescent="0.25">
      <c r="A555" s="131"/>
      <c r="B555" s="131"/>
      <c r="C555" s="131"/>
      <c r="D555" s="131"/>
      <c r="E555" s="131"/>
    </row>
    <row r="556" spans="1:5" ht="10.5" hidden="1" customHeight="1" x14ac:dyDescent="0.25">
      <c r="A556" s="131"/>
      <c r="B556" s="131"/>
      <c r="C556" s="131"/>
      <c r="D556" s="131"/>
      <c r="E556" s="131"/>
    </row>
    <row r="557" spans="1:5" ht="10.5" hidden="1" customHeight="1" x14ac:dyDescent="0.25">
      <c r="A557" s="131"/>
      <c r="B557" s="131"/>
      <c r="C557" s="131"/>
      <c r="D557" s="131"/>
      <c r="E557" s="131"/>
    </row>
    <row r="558" spans="1:5" ht="10.5" hidden="1" customHeight="1" x14ac:dyDescent="0.25">
      <c r="A558" s="131"/>
      <c r="B558" s="131"/>
      <c r="C558" s="131"/>
      <c r="D558" s="131"/>
      <c r="E558" s="131"/>
    </row>
    <row r="559" spans="1:5" ht="10.5" hidden="1" customHeight="1" x14ac:dyDescent="0.25">
      <c r="A559" s="131"/>
      <c r="B559" s="131"/>
      <c r="C559" s="131"/>
      <c r="D559" s="131"/>
      <c r="E559" s="131"/>
    </row>
    <row r="560" spans="1:5" ht="10.5" hidden="1" customHeight="1" x14ac:dyDescent="0.25">
      <c r="A560" s="131"/>
      <c r="B560" s="131"/>
      <c r="C560" s="131"/>
      <c r="D560" s="131"/>
      <c r="E560" s="131"/>
    </row>
    <row r="561" spans="1:8" ht="10.5" hidden="1" customHeight="1" x14ac:dyDescent="0.25">
      <c r="A561" s="131"/>
      <c r="B561" s="131"/>
      <c r="C561" s="131"/>
      <c r="D561" s="131"/>
      <c r="E561" s="131"/>
    </row>
    <row r="562" spans="1:8" ht="10.5" hidden="1" customHeight="1" x14ac:dyDescent="0.25">
      <c r="A562" s="131"/>
      <c r="B562" s="131"/>
      <c r="C562" s="131"/>
      <c r="D562" s="131"/>
      <c r="E562" s="131"/>
      <c r="F562" s="1"/>
      <c r="G562" s="1"/>
      <c r="H562" s="2"/>
    </row>
    <row r="563" spans="1:8" ht="10.5" hidden="1" customHeight="1" x14ac:dyDescent="0.25">
      <c r="A563" s="131"/>
      <c r="B563" s="131"/>
      <c r="C563" s="131"/>
      <c r="D563" s="131"/>
      <c r="E563" s="131"/>
      <c r="F563" s="1"/>
      <c r="G563" s="1"/>
      <c r="H563" s="2"/>
    </row>
    <row r="564" spans="1:8" ht="10.5" hidden="1" customHeight="1" x14ac:dyDescent="0.25">
      <c r="A564" s="131"/>
      <c r="B564" s="131"/>
      <c r="C564" s="131"/>
      <c r="D564" s="131"/>
      <c r="E564" s="131"/>
      <c r="F564" s="1"/>
      <c r="G564" s="1"/>
      <c r="H564" s="2"/>
    </row>
    <row r="565" spans="1:8" ht="10.5" hidden="1" customHeight="1" x14ac:dyDescent="0.25">
      <c r="A565" s="131"/>
      <c r="B565" s="131"/>
      <c r="C565" s="131"/>
      <c r="D565" s="131"/>
      <c r="E565" s="131"/>
      <c r="F565" s="1"/>
      <c r="G565" s="1"/>
      <c r="H565" s="2"/>
    </row>
    <row r="566" spans="1:8" ht="10.5" hidden="1" customHeight="1" x14ac:dyDescent="0.25">
      <c r="A566" s="131"/>
      <c r="B566" s="131"/>
      <c r="C566" s="131"/>
      <c r="D566" s="131"/>
      <c r="E566" s="131"/>
      <c r="F566" s="1"/>
      <c r="G566" s="1"/>
      <c r="H566" s="2"/>
    </row>
    <row r="567" spans="1:8" ht="10.5" hidden="1" customHeight="1" x14ac:dyDescent="0.25">
      <c r="A567" s="131"/>
      <c r="B567" s="131"/>
      <c r="C567" s="131"/>
      <c r="D567" s="131"/>
      <c r="E567" s="131"/>
      <c r="F567" s="1"/>
      <c r="G567" s="1"/>
      <c r="H567" s="2"/>
    </row>
    <row r="568" spans="1:8" ht="10.5" hidden="1" customHeight="1" x14ac:dyDescent="0.25">
      <c r="A568" s="131"/>
      <c r="B568" s="131"/>
      <c r="C568" s="131"/>
      <c r="D568" s="131"/>
      <c r="E568" s="131"/>
      <c r="F568" s="1"/>
      <c r="G568" s="1"/>
      <c r="H568" s="2"/>
    </row>
    <row r="569" spans="1:8" ht="10.5" hidden="1" customHeight="1" x14ac:dyDescent="0.25">
      <c r="A569" s="131"/>
      <c r="B569" s="131"/>
      <c r="C569" s="131"/>
      <c r="D569" s="131"/>
      <c r="E569" s="131"/>
      <c r="F569" s="1"/>
      <c r="G569" s="1"/>
      <c r="H569" s="2"/>
    </row>
    <row r="570" spans="1:8" ht="10.5" hidden="1" customHeight="1" x14ac:dyDescent="0.25">
      <c r="A570" s="131"/>
      <c r="B570" s="131"/>
      <c r="C570" s="131"/>
      <c r="D570" s="131"/>
      <c r="E570" s="131"/>
      <c r="F570" s="1"/>
      <c r="G570" s="1"/>
      <c r="H570" s="2"/>
    </row>
    <row r="571" spans="1:8" ht="10.5" hidden="1" customHeight="1" x14ac:dyDescent="0.25">
      <c r="A571" s="131"/>
      <c r="B571" s="131"/>
      <c r="C571" s="131"/>
      <c r="D571" s="131"/>
      <c r="E571" s="131"/>
      <c r="F571" s="1"/>
      <c r="G571" s="1"/>
      <c r="H571" s="2"/>
    </row>
    <row r="572" spans="1:8" s="129" customFormat="1" ht="12.95" hidden="1" customHeight="1" x14ac:dyDescent="0.25">
      <c r="A572" s="126"/>
      <c r="B572" s="127" t="s">
        <v>114</v>
      </c>
      <c r="C572" s="128" t="str">
        <f>A148</f>
        <v>Bonus 3.0 FAR</v>
      </c>
      <c r="D572" s="126"/>
      <c r="E572" s="126"/>
      <c r="H572" s="130"/>
    </row>
    <row r="573" spans="1:8" ht="10.5" hidden="1" customHeight="1" x14ac:dyDescent="0.25">
      <c r="A573" s="131"/>
      <c r="B573" s="131" t="s">
        <v>115</v>
      </c>
      <c r="C573" s="132">
        <f>H147</f>
        <v>113559</v>
      </c>
      <c r="D573" s="131"/>
      <c r="E573" s="131"/>
      <c r="F573" s="1"/>
      <c r="G573" s="1"/>
      <c r="H573" s="2"/>
    </row>
    <row r="574" spans="1:8" ht="10.5" hidden="1" customHeight="1" x14ac:dyDescent="0.25">
      <c r="A574" s="131"/>
      <c r="B574" s="131" t="s">
        <v>116</v>
      </c>
      <c r="C574" s="132">
        <f>H149</f>
        <v>334820</v>
      </c>
      <c r="D574" s="131"/>
      <c r="E574" s="131"/>
      <c r="F574" s="1"/>
      <c r="G574" s="1"/>
      <c r="H574" s="2"/>
    </row>
    <row r="575" spans="1:8" ht="10.5" hidden="1" customHeight="1" x14ac:dyDescent="0.25">
      <c r="A575" s="131"/>
      <c r="B575" s="131" t="s">
        <v>117</v>
      </c>
      <c r="C575" s="132">
        <f>G150</f>
        <v>950</v>
      </c>
      <c r="D575" s="131"/>
      <c r="E575" s="131"/>
      <c r="F575" s="1"/>
      <c r="G575" s="1"/>
      <c r="H575" s="2"/>
    </row>
    <row r="576" spans="1:8" ht="10.5" hidden="1" customHeight="1" x14ac:dyDescent="0.25">
      <c r="A576" s="131"/>
      <c r="B576" s="131" t="s">
        <v>107</v>
      </c>
      <c r="C576" s="132">
        <f>H150</f>
        <v>352.44210526315788</v>
      </c>
      <c r="D576" s="131"/>
      <c r="E576" s="131"/>
      <c r="F576" s="1"/>
      <c r="G576" s="1"/>
      <c r="H576" s="2"/>
    </row>
    <row r="577" spans="1:8" ht="10.5" hidden="1" customHeight="1" x14ac:dyDescent="0.25">
      <c r="A577" s="131"/>
      <c r="B577" s="131" t="s">
        <v>118</v>
      </c>
      <c r="C577" s="132">
        <f>H152</f>
        <v>31.079305263157895</v>
      </c>
      <c r="D577" s="131"/>
      <c r="E577" s="131"/>
      <c r="F577" s="1"/>
      <c r="G577" s="1"/>
      <c r="H577" s="2"/>
    </row>
    <row r="578" spans="1:8" ht="10.5" hidden="1" customHeight="1" x14ac:dyDescent="0.25">
      <c r="A578" s="131"/>
      <c r="B578" s="131" t="s">
        <v>119</v>
      </c>
      <c r="C578" s="132">
        <f>H154</f>
        <v>64.079305263157892</v>
      </c>
      <c r="D578" s="131"/>
      <c r="E578" s="131"/>
    </row>
    <row r="579" spans="1:8" ht="10.5" hidden="1" customHeight="1" x14ac:dyDescent="0.25">
      <c r="A579" s="131"/>
      <c r="B579" s="131" t="s">
        <v>120</v>
      </c>
      <c r="C579" s="132">
        <f>H157</f>
        <v>0</v>
      </c>
      <c r="D579" s="131"/>
      <c r="E579" s="131"/>
    </row>
    <row r="580" spans="1:8" ht="10.5" hidden="1" customHeight="1" x14ac:dyDescent="0.25">
      <c r="A580" s="131"/>
      <c r="B580" s="131"/>
      <c r="C580" s="132"/>
      <c r="D580" s="131"/>
      <c r="E580" s="131"/>
    </row>
    <row r="581" spans="1:8" ht="10.5" hidden="1" customHeight="1" x14ac:dyDescent="0.25">
      <c r="A581" s="131"/>
      <c r="B581" s="133" t="s">
        <v>121</v>
      </c>
      <c r="C581" s="132"/>
      <c r="D581" s="131"/>
      <c r="E581" s="131"/>
    </row>
    <row r="582" spans="1:8" ht="10.5" hidden="1" customHeight="1" x14ac:dyDescent="0.25">
      <c r="A582" s="131"/>
      <c r="B582" s="131" t="s">
        <v>122</v>
      </c>
      <c r="C582" s="134">
        <f>H166</f>
        <v>409597.8935797895</v>
      </c>
      <c r="D582" s="135" t="s">
        <v>123</v>
      </c>
      <c r="E582" s="134">
        <v>1098.26</v>
      </c>
    </row>
    <row r="583" spans="1:8" ht="10.5" hidden="1" customHeight="1" x14ac:dyDescent="0.25">
      <c r="A583" s="131"/>
      <c r="B583" s="131" t="s">
        <v>124</v>
      </c>
      <c r="C583" s="134">
        <f>H167</f>
        <v>310835.94666666666</v>
      </c>
      <c r="D583" s="135" t="s">
        <v>123</v>
      </c>
      <c r="E583" s="134">
        <v>784.93925925925919</v>
      </c>
    </row>
    <row r="584" spans="1:8" ht="10.5" hidden="1" customHeight="1" x14ac:dyDescent="0.25">
      <c r="A584" s="131"/>
      <c r="B584" s="131" t="s">
        <v>125</v>
      </c>
      <c r="C584" s="136">
        <f>H165</f>
        <v>10217664</v>
      </c>
      <c r="D584" s="135" t="s">
        <v>123</v>
      </c>
      <c r="E584" s="134">
        <v>2956.5</v>
      </c>
    </row>
    <row r="585" spans="1:8" ht="10.5" hidden="1" customHeight="1" x14ac:dyDescent="0.25">
      <c r="A585" s="131"/>
      <c r="B585" s="131" t="s">
        <v>126</v>
      </c>
      <c r="C585" s="136">
        <f>H170</f>
        <v>792994.73684210528</v>
      </c>
      <c r="D585" s="135"/>
      <c r="E585" s="134"/>
    </row>
    <row r="586" spans="1:8" ht="10.5" hidden="1" customHeight="1" x14ac:dyDescent="0.25">
      <c r="A586" s="131"/>
      <c r="B586" s="131" t="s">
        <v>127</v>
      </c>
      <c r="C586" s="136">
        <f>H179</f>
        <v>-510883.2</v>
      </c>
      <c r="D586" s="135"/>
      <c r="E586" s="134"/>
    </row>
    <row r="587" spans="1:8" ht="10.5" hidden="1" customHeight="1" x14ac:dyDescent="0.25">
      <c r="A587" s="131"/>
      <c r="B587" s="131" t="s">
        <v>128</v>
      </c>
      <c r="C587" s="136">
        <f>H189</f>
        <v>-3802075.3748915265</v>
      </c>
      <c r="D587" s="131"/>
      <c r="E587" s="131"/>
    </row>
    <row r="588" spans="1:8" ht="10.5" hidden="1" customHeight="1" x14ac:dyDescent="0.25">
      <c r="A588" s="131"/>
      <c r="B588" s="131" t="s">
        <v>129</v>
      </c>
      <c r="C588" s="134">
        <f>SUM(C582:C587)</f>
        <v>7418134.0021970347</v>
      </c>
      <c r="D588" s="131"/>
      <c r="E588" s="131"/>
    </row>
    <row r="589" spans="1:8" ht="10.5" hidden="1" customHeight="1" x14ac:dyDescent="0.25">
      <c r="A589" s="131"/>
      <c r="B589" s="131"/>
      <c r="C589" s="131"/>
      <c r="D589" s="131"/>
      <c r="E589" s="131"/>
    </row>
    <row r="590" spans="1:8" ht="10.5" hidden="1" customHeight="1" x14ac:dyDescent="0.25">
      <c r="A590" s="131"/>
      <c r="B590" s="133" t="s">
        <v>130</v>
      </c>
      <c r="C590" s="131"/>
      <c r="D590" s="131"/>
      <c r="E590" s="131"/>
    </row>
    <row r="591" spans="1:8" ht="10.5" hidden="1" customHeight="1" x14ac:dyDescent="0.25">
      <c r="A591" s="131"/>
      <c r="B591" s="131" t="s">
        <v>131</v>
      </c>
      <c r="C591" s="136">
        <f>H203+H205</f>
        <v>95501237.263157904</v>
      </c>
      <c r="D591" s="131"/>
      <c r="E591" s="131"/>
    </row>
    <row r="592" spans="1:8" ht="10.5" hidden="1" customHeight="1" x14ac:dyDescent="0.25">
      <c r="A592" s="131"/>
      <c r="B592" s="131" t="s">
        <v>132</v>
      </c>
      <c r="C592" s="136">
        <f>H201</f>
        <v>7949130</v>
      </c>
      <c r="D592" s="131"/>
      <c r="E592" s="131"/>
    </row>
    <row r="593" spans="1:5" ht="10.5" hidden="1" customHeight="1" x14ac:dyDescent="0.25">
      <c r="A593" s="131"/>
      <c r="B593" s="131" t="s">
        <v>133</v>
      </c>
      <c r="C593" s="136">
        <f>H206</f>
        <v>17200000</v>
      </c>
      <c r="D593" s="131"/>
      <c r="E593" s="131"/>
    </row>
    <row r="594" spans="1:5" ht="10.5" hidden="1" customHeight="1" x14ac:dyDescent="0.25">
      <c r="A594" s="131"/>
      <c r="B594" s="131" t="s">
        <v>113</v>
      </c>
      <c r="C594" s="136">
        <f>H202</f>
        <v>0</v>
      </c>
      <c r="D594" s="131"/>
      <c r="E594" s="131"/>
    </row>
    <row r="595" spans="1:5" ht="10.5" hidden="1" customHeight="1" x14ac:dyDescent="0.25">
      <c r="A595" s="131"/>
      <c r="B595" s="131" t="s">
        <v>134</v>
      </c>
      <c r="C595" s="136">
        <f>SUM(C591:C594)</f>
        <v>120650367.2631579</v>
      </c>
      <c r="D595" s="135" t="s">
        <v>135</v>
      </c>
      <c r="E595" s="136">
        <f>C595/C576</f>
        <v>342326.76930888242</v>
      </c>
    </row>
    <row r="596" spans="1:5" ht="10.5" hidden="1" customHeight="1" x14ac:dyDescent="0.25">
      <c r="A596" s="131"/>
      <c r="B596" s="131"/>
      <c r="C596" s="131"/>
      <c r="D596" s="131"/>
      <c r="E596" s="131"/>
    </row>
    <row r="597" spans="1:5" ht="10.5" hidden="1" customHeight="1" x14ac:dyDescent="0.25">
      <c r="A597" s="131"/>
      <c r="B597" s="133" t="s">
        <v>136</v>
      </c>
      <c r="C597" s="137">
        <f>C588/C595</f>
        <v>6.1484553843229407E-2</v>
      </c>
      <c r="D597" s="131"/>
      <c r="E597" s="131"/>
    </row>
    <row r="598" spans="1:5" ht="10.5" hidden="1" customHeight="1" x14ac:dyDescent="0.25">
      <c r="A598" s="131"/>
      <c r="B598" s="131"/>
      <c r="C598" s="131"/>
      <c r="D598" s="131"/>
      <c r="E598" s="131"/>
    </row>
    <row r="599" spans="1:5" ht="10.5" hidden="1" customHeight="1" x14ac:dyDescent="0.25">
      <c r="A599" s="131"/>
      <c r="B599" s="131"/>
      <c r="C599" s="131"/>
      <c r="D599" s="131"/>
      <c r="E599" s="131"/>
    </row>
    <row r="600" spans="1:5" ht="10.5" hidden="1" customHeight="1" x14ac:dyDescent="0.25">
      <c r="A600" s="131"/>
      <c r="B600" s="131"/>
      <c r="C600" s="131"/>
      <c r="D600" s="131"/>
      <c r="E600" s="131"/>
    </row>
    <row r="601" spans="1:5" ht="10.5" hidden="1" customHeight="1" x14ac:dyDescent="0.25">
      <c r="A601" s="131"/>
      <c r="B601" s="131"/>
      <c r="C601" s="131"/>
      <c r="D601" s="131"/>
      <c r="E601" s="131"/>
    </row>
    <row r="602" spans="1:5" ht="10.5" hidden="1" customHeight="1" x14ac:dyDescent="0.25">
      <c r="A602" s="131"/>
      <c r="B602" s="131"/>
      <c r="C602" s="131"/>
      <c r="D602" s="131"/>
      <c r="E602" s="131"/>
    </row>
    <row r="603" spans="1:5" ht="10.5" hidden="1" customHeight="1" x14ac:dyDescent="0.25">
      <c r="A603" s="131"/>
      <c r="B603" s="131"/>
      <c r="C603" s="131"/>
      <c r="D603" s="131"/>
      <c r="E603" s="131"/>
    </row>
    <row r="604" spans="1:5" ht="10.5" hidden="1" customHeight="1" x14ac:dyDescent="0.25">
      <c r="A604" s="131"/>
      <c r="B604" s="131"/>
      <c r="C604" s="131"/>
      <c r="D604" s="131"/>
      <c r="E604" s="131"/>
    </row>
    <row r="605" spans="1:5" ht="10.5" hidden="1" customHeight="1" x14ac:dyDescent="0.25">
      <c r="A605" s="131"/>
      <c r="B605" s="131"/>
      <c r="C605" s="131"/>
      <c r="D605" s="131"/>
      <c r="E605" s="131"/>
    </row>
    <row r="606" spans="1:5" ht="10.5" hidden="1" customHeight="1" x14ac:dyDescent="0.25">
      <c r="A606" s="131"/>
      <c r="B606" s="131"/>
      <c r="C606" s="131"/>
      <c r="D606" s="131"/>
      <c r="E606" s="131"/>
    </row>
    <row r="607" spans="1:5" ht="10.5" hidden="1" customHeight="1" x14ac:dyDescent="0.25">
      <c r="A607" s="131"/>
      <c r="B607" s="131"/>
      <c r="C607" s="131"/>
      <c r="D607" s="131"/>
      <c r="E607" s="131"/>
    </row>
    <row r="608" spans="1:5" ht="10.5" hidden="1" customHeight="1" x14ac:dyDescent="0.25">
      <c r="A608" s="131"/>
      <c r="B608" s="131"/>
      <c r="C608" s="131"/>
      <c r="D608" s="131"/>
      <c r="E608" s="131"/>
    </row>
    <row r="609" spans="1:5" ht="10.5" hidden="1" customHeight="1" x14ac:dyDescent="0.25">
      <c r="A609" s="131"/>
      <c r="B609" s="131"/>
      <c r="C609" s="131"/>
      <c r="D609" s="131"/>
      <c r="E609" s="131"/>
    </row>
    <row r="610" spans="1:5" ht="10.5" hidden="1" customHeight="1" x14ac:dyDescent="0.25">
      <c r="A610" s="131"/>
      <c r="B610" s="131"/>
      <c r="C610" s="131"/>
      <c r="D610" s="131"/>
      <c r="E610" s="131"/>
    </row>
    <row r="611" spans="1:5" ht="10.5" hidden="1" customHeight="1" x14ac:dyDescent="0.25">
      <c r="A611" s="131"/>
      <c r="B611" s="131"/>
      <c r="C611" s="131"/>
      <c r="D611" s="131"/>
      <c r="E611" s="131"/>
    </row>
    <row r="612" spans="1:5" ht="10.5" hidden="1" customHeight="1" x14ac:dyDescent="0.25">
      <c r="A612" s="131"/>
      <c r="B612" s="131"/>
      <c r="C612" s="131"/>
      <c r="D612" s="131"/>
      <c r="E612" s="131"/>
    </row>
    <row r="613" spans="1:5" ht="10.5" hidden="1" customHeight="1" x14ac:dyDescent="0.25">
      <c r="A613" s="131"/>
      <c r="B613" s="131"/>
      <c r="C613" s="131"/>
      <c r="D613" s="131"/>
      <c r="E613" s="131"/>
    </row>
    <row r="614" spans="1:5" ht="10.5" hidden="1" customHeight="1" x14ac:dyDescent="0.25">
      <c r="A614" s="131"/>
      <c r="B614" s="131"/>
      <c r="C614" s="131"/>
      <c r="D614" s="131"/>
      <c r="E614" s="131"/>
    </row>
    <row r="615" spans="1:5" ht="10.5" hidden="1" customHeight="1" x14ac:dyDescent="0.25">
      <c r="A615" s="131"/>
      <c r="B615" s="131"/>
      <c r="C615" s="131"/>
      <c r="D615" s="131"/>
      <c r="E615" s="131"/>
    </row>
    <row r="616" spans="1:5" ht="10.5" hidden="1" customHeight="1" x14ac:dyDescent="0.25">
      <c r="A616" s="131"/>
      <c r="B616" s="131"/>
      <c r="C616" s="131"/>
      <c r="D616" s="131"/>
      <c r="E616" s="131"/>
    </row>
    <row r="617" spans="1:5" ht="10.5" hidden="1" customHeight="1" x14ac:dyDescent="0.25">
      <c r="A617" s="131"/>
      <c r="B617" s="131"/>
      <c r="C617" s="131"/>
      <c r="D617" s="131"/>
      <c r="E617" s="131"/>
    </row>
    <row r="618" spans="1:5" ht="10.5" hidden="1" customHeight="1" x14ac:dyDescent="0.25">
      <c r="A618" s="131"/>
      <c r="B618" s="131"/>
      <c r="C618" s="131"/>
      <c r="D618" s="131"/>
      <c r="E618" s="131"/>
    </row>
    <row r="619" spans="1:5" ht="10.5" hidden="1" customHeight="1" x14ac:dyDescent="0.25">
      <c r="A619" s="131"/>
      <c r="B619" s="131"/>
      <c r="C619" s="131"/>
      <c r="D619" s="131"/>
      <c r="E619" s="131"/>
    </row>
    <row r="620" spans="1:5" ht="10.5" hidden="1" customHeight="1" x14ac:dyDescent="0.25">
      <c r="A620" s="131"/>
      <c r="B620" s="131"/>
      <c r="C620" s="131"/>
      <c r="D620" s="131"/>
      <c r="E620" s="131"/>
    </row>
    <row r="621" spans="1:5" ht="10.5" hidden="1" customHeight="1" x14ac:dyDescent="0.25">
      <c r="A621" s="131"/>
      <c r="B621" s="131"/>
      <c r="C621" s="131"/>
      <c r="D621" s="131"/>
      <c r="E621" s="131"/>
    </row>
    <row r="622" spans="1:5" ht="10.5" hidden="1" customHeight="1" x14ac:dyDescent="0.25">
      <c r="A622" s="131"/>
      <c r="B622" s="131"/>
      <c r="C622" s="131"/>
      <c r="D622" s="131"/>
      <c r="E622" s="131"/>
    </row>
    <row r="623" spans="1:5" ht="10.5" hidden="1" customHeight="1" x14ac:dyDescent="0.25">
      <c r="A623" s="131"/>
      <c r="B623" s="131"/>
      <c r="C623" s="131"/>
      <c r="D623" s="131"/>
      <c r="E623" s="131"/>
    </row>
    <row r="624" spans="1:5" ht="10.5" hidden="1" customHeight="1" x14ac:dyDescent="0.25">
      <c r="A624" s="131"/>
      <c r="B624" s="131"/>
      <c r="C624" s="131"/>
      <c r="D624" s="131"/>
      <c r="E624" s="131"/>
    </row>
    <row r="625" spans="1:8" ht="10.5" hidden="1" customHeight="1" x14ac:dyDescent="0.25">
      <c r="A625" s="131"/>
      <c r="B625" s="131"/>
      <c r="C625" s="131"/>
      <c r="D625" s="131"/>
      <c r="E625" s="131"/>
    </row>
    <row r="626" spans="1:8" ht="10.5" hidden="1" customHeight="1" x14ac:dyDescent="0.25">
      <c r="A626" s="131"/>
      <c r="B626" s="131"/>
      <c r="C626" s="131"/>
      <c r="D626" s="131"/>
      <c r="E626" s="131"/>
      <c r="F626" s="1"/>
      <c r="G626" s="1"/>
      <c r="H626" s="2"/>
    </row>
    <row r="627" spans="1:8" ht="10.5" hidden="1" customHeight="1" x14ac:dyDescent="0.25">
      <c r="A627" s="131"/>
      <c r="B627" s="131"/>
      <c r="C627" s="131"/>
      <c r="D627" s="131"/>
      <c r="E627" s="131"/>
      <c r="F627" s="1"/>
      <c r="G627" s="1"/>
      <c r="H627" s="2"/>
    </row>
    <row r="628" spans="1:8" ht="10.5" hidden="1" customHeight="1" x14ac:dyDescent="0.25">
      <c r="A628" s="131"/>
      <c r="B628" s="131"/>
      <c r="C628" s="131"/>
      <c r="D628" s="131"/>
      <c r="E628" s="131"/>
      <c r="F628" s="1"/>
      <c r="G628" s="1"/>
      <c r="H628" s="2"/>
    </row>
    <row r="629" spans="1:8" ht="10.5" hidden="1" customHeight="1" x14ac:dyDescent="0.25">
      <c r="A629" s="131"/>
      <c r="B629" s="131"/>
      <c r="C629" s="131"/>
      <c r="D629" s="131"/>
      <c r="E629" s="131"/>
      <c r="F629" s="1"/>
      <c r="G629" s="1"/>
      <c r="H629" s="2"/>
    </row>
    <row r="630" spans="1:8" ht="10.5" hidden="1" customHeight="1" x14ac:dyDescent="0.25">
      <c r="A630" s="131"/>
      <c r="B630" s="131"/>
      <c r="C630" s="131"/>
      <c r="D630" s="131"/>
      <c r="E630" s="131"/>
      <c r="F630" s="1"/>
      <c r="G630" s="1"/>
      <c r="H630" s="2"/>
    </row>
    <row r="631" spans="1:8" ht="10.5" hidden="1" customHeight="1" x14ac:dyDescent="0.25">
      <c r="A631" s="131"/>
      <c r="B631" s="131"/>
      <c r="C631" s="131"/>
      <c r="D631" s="131"/>
      <c r="E631" s="131"/>
      <c r="F631" s="1"/>
      <c r="G631" s="1"/>
      <c r="H631" s="2"/>
    </row>
    <row r="632" spans="1:8" ht="10.5" hidden="1" customHeight="1" x14ac:dyDescent="0.25">
      <c r="A632" s="131"/>
      <c r="B632" s="131"/>
      <c r="C632" s="131"/>
      <c r="D632" s="131"/>
      <c r="E632" s="131"/>
      <c r="F632" s="1"/>
      <c r="G632" s="1"/>
      <c r="H632" s="2"/>
    </row>
    <row r="633" spans="1:8" ht="10.5" hidden="1" customHeight="1" x14ac:dyDescent="0.25">
      <c r="A633" s="131"/>
      <c r="B633" s="131"/>
      <c r="C633" s="131"/>
      <c r="D633" s="131"/>
      <c r="E633" s="131"/>
      <c r="F633" s="1"/>
      <c r="G633" s="1"/>
      <c r="H633" s="2"/>
    </row>
    <row r="634" spans="1:8" ht="10.5" hidden="1" customHeight="1" x14ac:dyDescent="0.25">
      <c r="A634" s="131"/>
      <c r="B634" s="131"/>
      <c r="C634" s="131"/>
      <c r="D634" s="131"/>
      <c r="E634" s="131"/>
      <c r="F634" s="1"/>
      <c r="G634" s="1"/>
      <c r="H634" s="2"/>
    </row>
    <row r="635" spans="1:8" ht="10.5" hidden="1" customHeight="1" x14ac:dyDescent="0.25">
      <c r="A635" s="131"/>
      <c r="B635" s="131"/>
      <c r="C635" s="131"/>
      <c r="D635" s="131"/>
      <c r="E635" s="131"/>
      <c r="F635" s="1"/>
      <c r="G635" s="1"/>
      <c r="H635" s="2"/>
    </row>
    <row r="636" spans="1:8" ht="10.5" hidden="1" customHeight="1" x14ac:dyDescent="0.25">
      <c r="A636" s="131"/>
      <c r="B636" s="131"/>
      <c r="C636" s="131"/>
      <c r="D636" s="131"/>
      <c r="E636" s="131"/>
      <c r="F636" s="1"/>
      <c r="G636" s="1"/>
      <c r="H636" s="2"/>
    </row>
    <row r="637" spans="1:8" ht="10.5" hidden="1" customHeight="1" x14ac:dyDescent="0.25">
      <c r="A637" s="131"/>
      <c r="B637" s="131"/>
      <c r="C637" s="131"/>
      <c r="D637" s="131"/>
      <c r="E637" s="131"/>
      <c r="F637" s="1"/>
      <c r="G637" s="1"/>
      <c r="H637" s="2"/>
    </row>
    <row r="638" spans="1:8" ht="10.5" hidden="1" customHeight="1" x14ac:dyDescent="0.25">
      <c r="A638" s="131"/>
      <c r="B638" s="131"/>
      <c r="C638" s="131"/>
      <c r="D638" s="131"/>
      <c r="E638" s="131"/>
      <c r="F638" s="1"/>
      <c r="G638" s="1"/>
      <c r="H638" s="2"/>
    </row>
    <row r="639" spans="1:8" ht="10.5" hidden="1" customHeight="1" x14ac:dyDescent="0.25">
      <c r="A639" s="131"/>
      <c r="B639" s="131"/>
      <c r="C639" s="131"/>
      <c r="D639" s="131"/>
      <c r="E639" s="131"/>
      <c r="F639" s="1"/>
      <c r="G639" s="1"/>
      <c r="H639" s="2"/>
    </row>
    <row r="640" spans="1:8" s="129" customFormat="1" ht="12.95" hidden="1" customHeight="1" x14ac:dyDescent="0.25">
      <c r="A640" s="126"/>
      <c r="B640" s="127" t="s">
        <v>114</v>
      </c>
      <c r="C640" s="128" t="str">
        <f>A216</f>
        <v>Bonus 4.0 FAR</v>
      </c>
      <c r="D640" s="126"/>
      <c r="E640" s="126"/>
      <c r="H640" s="130"/>
    </row>
    <row r="641" spans="1:8" ht="10.5" hidden="1" customHeight="1" x14ac:dyDescent="0.25">
      <c r="A641" s="131"/>
      <c r="B641" s="131" t="s">
        <v>115</v>
      </c>
      <c r="C641" s="132">
        <f>H215</f>
        <v>175282.15384615384</v>
      </c>
      <c r="D641" s="131"/>
      <c r="E641" s="131"/>
      <c r="F641" s="1"/>
      <c r="G641" s="1"/>
      <c r="H641" s="2"/>
    </row>
    <row r="642" spans="1:8" ht="10.5" hidden="1" customHeight="1" x14ac:dyDescent="0.25">
      <c r="A642" s="131"/>
      <c r="B642" s="131" t="s">
        <v>116</v>
      </c>
      <c r="C642" s="132">
        <f>H217</f>
        <v>668220</v>
      </c>
      <c r="D642" s="131"/>
      <c r="E642" s="131"/>
    </row>
    <row r="643" spans="1:8" ht="10.5" hidden="1" customHeight="1" x14ac:dyDescent="0.25">
      <c r="A643" s="131"/>
      <c r="B643" s="131" t="s">
        <v>117</v>
      </c>
      <c r="C643" s="132">
        <f>G218</f>
        <v>950</v>
      </c>
      <c r="D643" s="131"/>
      <c r="E643" s="131"/>
    </row>
    <row r="644" spans="1:8" ht="10.5" hidden="1" customHeight="1" x14ac:dyDescent="0.25">
      <c r="A644" s="131"/>
      <c r="B644" s="131" t="s">
        <v>107</v>
      </c>
      <c r="C644" s="132">
        <f>H218</f>
        <v>703.38947368421054</v>
      </c>
      <c r="D644" s="131"/>
      <c r="E644" s="131"/>
    </row>
    <row r="645" spans="1:8" ht="10.5" hidden="1" customHeight="1" x14ac:dyDescent="0.25">
      <c r="A645" s="131"/>
      <c r="B645" s="131" t="s">
        <v>118</v>
      </c>
      <c r="C645" s="132">
        <f>H220</f>
        <v>48</v>
      </c>
      <c r="D645" s="131"/>
      <c r="E645" s="131"/>
    </row>
    <row r="646" spans="1:8" ht="10.5" hidden="1" customHeight="1" x14ac:dyDescent="0.25">
      <c r="A646" s="131"/>
      <c r="B646" s="131" t="s">
        <v>119</v>
      </c>
      <c r="C646" s="132">
        <f>H222</f>
        <v>145</v>
      </c>
      <c r="D646" s="131"/>
      <c r="E646" s="131"/>
    </row>
    <row r="647" spans="1:8" ht="10.5" hidden="1" customHeight="1" x14ac:dyDescent="0.25">
      <c r="A647" s="131"/>
      <c r="B647" s="131" t="s">
        <v>120</v>
      </c>
      <c r="C647" s="132">
        <f>H225</f>
        <v>0</v>
      </c>
      <c r="D647" s="131"/>
      <c r="E647" s="131"/>
    </row>
    <row r="648" spans="1:8" ht="10.5" hidden="1" customHeight="1" x14ac:dyDescent="0.25">
      <c r="A648" s="131"/>
      <c r="B648" s="131"/>
      <c r="C648" s="132"/>
      <c r="D648" s="131"/>
      <c r="E648" s="131"/>
    </row>
    <row r="649" spans="1:8" ht="10.5" hidden="1" customHeight="1" x14ac:dyDescent="0.25">
      <c r="A649" s="131"/>
      <c r="B649" s="133" t="s">
        <v>121</v>
      </c>
      <c r="C649" s="132"/>
      <c r="D649" s="131"/>
      <c r="E649" s="131"/>
    </row>
    <row r="650" spans="1:8" ht="10.5" hidden="1" customHeight="1" x14ac:dyDescent="0.25">
      <c r="A650" s="131"/>
      <c r="B650" s="131" t="s">
        <v>122</v>
      </c>
      <c r="C650" s="134">
        <f>H234</f>
        <v>632597.76000000001</v>
      </c>
      <c r="D650" s="135" t="s">
        <v>123</v>
      </c>
      <c r="E650" s="134">
        <v>1098.26</v>
      </c>
    </row>
    <row r="651" spans="1:8" ht="10.5" hidden="1" customHeight="1" x14ac:dyDescent="0.25">
      <c r="A651" s="131"/>
      <c r="B651" s="131" t="s">
        <v>124</v>
      </c>
      <c r="C651" s="134">
        <f>H235</f>
        <v>913669.29777777765</v>
      </c>
      <c r="D651" s="135" t="s">
        <v>123</v>
      </c>
      <c r="E651" s="134">
        <v>784.93925925925919</v>
      </c>
    </row>
    <row r="652" spans="1:8" ht="10.5" hidden="1" customHeight="1" x14ac:dyDescent="0.25">
      <c r="A652" s="131"/>
      <c r="B652" s="131" t="s">
        <v>125</v>
      </c>
      <c r="C652" s="136">
        <f>H233</f>
        <v>19796724</v>
      </c>
      <c r="D652" s="135" t="s">
        <v>123</v>
      </c>
      <c r="E652" s="134">
        <v>2956.5</v>
      </c>
    </row>
    <row r="653" spans="1:8" ht="10.5" hidden="1" customHeight="1" x14ac:dyDescent="0.25">
      <c r="A653" s="131"/>
      <c r="B653" s="131" t="s">
        <v>126</v>
      </c>
      <c r="C653" s="136">
        <f>H238</f>
        <v>1582626.3157894739</v>
      </c>
      <c r="D653" s="135"/>
      <c r="E653" s="134"/>
    </row>
    <row r="654" spans="1:8" ht="10.5" hidden="1" customHeight="1" x14ac:dyDescent="0.25">
      <c r="A654" s="131"/>
      <c r="B654" s="131" t="s">
        <v>127</v>
      </c>
      <c r="C654" s="136">
        <f>H247</f>
        <v>-989836.20000000007</v>
      </c>
      <c r="D654" s="135"/>
      <c r="E654" s="134"/>
    </row>
    <row r="655" spans="1:8" ht="10.5" hidden="1" customHeight="1" x14ac:dyDescent="0.25">
      <c r="A655" s="131"/>
      <c r="B655" s="131" t="s">
        <v>128</v>
      </c>
      <c r="C655" s="136">
        <f>H257</f>
        <v>-7514888.5531578958</v>
      </c>
      <c r="D655" s="131"/>
      <c r="E655" s="131"/>
    </row>
    <row r="656" spans="1:8" ht="10.5" hidden="1" customHeight="1" x14ac:dyDescent="0.25">
      <c r="A656" s="131"/>
      <c r="B656" s="131" t="s">
        <v>129</v>
      </c>
      <c r="C656" s="134">
        <f>SUM(C650:C655)</f>
        <v>14420892.620409355</v>
      </c>
      <c r="D656" s="131"/>
      <c r="E656" s="131"/>
    </row>
    <row r="657" spans="1:5" ht="10.5" hidden="1" customHeight="1" x14ac:dyDescent="0.25">
      <c r="A657" s="131"/>
      <c r="B657" s="131"/>
      <c r="C657" s="131"/>
      <c r="D657" s="131"/>
      <c r="E657" s="131"/>
    </row>
    <row r="658" spans="1:5" ht="10.5" hidden="1" customHeight="1" x14ac:dyDescent="0.25">
      <c r="A658" s="131"/>
      <c r="B658" s="133" t="s">
        <v>130</v>
      </c>
      <c r="C658" s="131"/>
      <c r="D658" s="131"/>
      <c r="E658" s="131"/>
    </row>
    <row r="659" spans="1:5" ht="10.5" hidden="1" customHeight="1" x14ac:dyDescent="0.25">
      <c r="A659" s="131"/>
      <c r="B659" s="131" t="s">
        <v>131</v>
      </c>
      <c r="C659" s="136">
        <f>H271+H273</f>
        <v>190597445.68421057</v>
      </c>
      <c r="D659" s="131"/>
      <c r="E659" s="131"/>
    </row>
    <row r="660" spans="1:5" ht="10.5" hidden="1" customHeight="1" x14ac:dyDescent="0.25">
      <c r="A660" s="131"/>
      <c r="B660" s="131" t="s">
        <v>132</v>
      </c>
      <c r="C660" s="136">
        <f>H269</f>
        <v>12269750.76923077</v>
      </c>
      <c r="D660" s="131"/>
      <c r="E660" s="131"/>
    </row>
    <row r="661" spans="1:5" ht="10.5" hidden="1" customHeight="1" x14ac:dyDescent="0.25">
      <c r="A661" s="131"/>
      <c r="B661" s="131" t="s">
        <v>133</v>
      </c>
      <c r="C661" s="136">
        <f>H274</f>
        <v>34400000</v>
      </c>
      <c r="D661" s="131"/>
      <c r="E661" s="131"/>
    </row>
    <row r="662" spans="1:5" ht="10.5" hidden="1" customHeight="1" x14ac:dyDescent="0.25">
      <c r="A662" s="131"/>
      <c r="B662" s="131" t="s">
        <v>113</v>
      </c>
      <c r="C662" s="136">
        <f>H270</f>
        <v>0</v>
      </c>
      <c r="D662" s="131"/>
      <c r="E662" s="131"/>
    </row>
    <row r="663" spans="1:5" ht="10.5" hidden="1" customHeight="1" x14ac:dyDescent="0.25">
      <c r="A663" s="131"/>
      <c r="B663" s="131" t="s">
        <v>134</v>
      </c>
      <c r="C663" s="136">
        <f>SUM(C659:C662)</f>
        <v>237267196.45344135</v>
      </c>
      <c r="D663" s="135" t="s">
        <v>135</v>
      </c>
      <c r="E663" s="136">
        <f>C663/C644</f>
        <v>337319.79981259059</v>
      </c>
    </row>
    <row r="664" spans="1:5" ht="10.5" hidden="1" customHeight="1" x14ac:dyDescent="0.25">
      <c r="A664" s="131"/>
      <c r="B664" s="131"/>
      <c r="C664" s="131"/>
      <c r="D664" s="131"/>
      <c r="E664" s="131"/>
    </row>
    <row r="665" spans="1:5" ht="10.5" hidden="1" customHeight="1" x14ac:dyDescent="0.25">
      <c r="A665" s="131"/>
      <c r="B665" s="133" t="s">
        <v>136</v>
      </c>
      <c r="C665" s="137">
        <f>C656/C663</f>
        <v>6.0779125121239203E-2</v>
      </c>
      <c r="D665" s="131"/>
      <c r="E665" s="131"/>
    </row>
    <row r="666" spans="1:5" ht="10.5" hidden="1" customHeight="1" x14ac:dyDescent="0.25">
      <c r="A666" s="131"/>
      <c r="B666" s="131"/>
      <c r="C666" s="131"/>
      <c r="D666" s="131"/>
      <c r="E666" s="131"/>
    </row>
    <row r="667" spans="1:5" ht="10.5" hidden="1" customHeight="1" x14ac:dyDescent="0.25">
      <c r="A667" s="131"/>
      <c r="B667" s="131"/>
      <c r="C667" s="131"/>
      <c r="D667" s="131"/>
      <c r="E667" s="131"/>
    </row>
    <row r="668" spans="1:5" ht="10.5" hidden="1" customHeight="1" x14ac:dyDescent="0.25">
      <c r="A668" s="131"/>
      <c r="B668" s="131"/>
      <c r="C668" s="131"/>
      <c r="D668" s="131"/>
      <c r="E668" s="131"/>
    </row>
    <row r="669" spans="1:5" ht="10.5" hidden="1" customHeight="1" x14ac:dyDescent="0.25">
      <c r="A669" s="131"/>
      <c r="B669" s="131"/>
      <c r="C669" s="131"/>
      <c r="D669" s="131"/>
      <c r="E669" s="131"/>
    </row>
    <row r="670" spans="1:5" ht="10.5" hidden="1" customHeight="1" x14ac:dyDescent="0.25">
      <c r="A670" s="131"/>
      <c r="B670" s="131"/>
      <c r="C670" s="131"/>
      <c r="D670" s="131"/>
      <c r="E670" s="131"/>
    </row>
    <row r="671" spans="1:5" ht="10.5" hidden="1" customHeight="1" x14ac:dyDescent="0.25">
      <c r="A671" s="131"/>
      <c r="B671" s="131"/>
      <c r="C671" s="131"/>
      <c r="D671" s="131"/>
      <c r="E671" s="131"/>
    </row>
    <row r="672" spans="1:5" ht="10.5" hidden="1" customHeight="1" x14ac:dyDescent="0.25">
      <c r="A672" s="131"/>
      <c r="B672" s="131"/>
      <c r="C672" s="131"/>
      <c r="D672" s="131"/>
      <c r="E672" s="131"/>
    </row>
    <row r="673" spans="1:5" ht="10.5" hidden="1" customHeight="1" x14ac:dyDescent="0.25">
      <c r="A673" s="131"/>
      <c r="B673" s="131"/>
      <c r="C673" s="131"/>
      <c r="D673" s="131"/>
      <c r="E673" s="131"/>
    </row>
    <row r="674" spans="1:5" ht="10.5" hidden="1" customHeight="1" x14ac:dyDescent="0.25">
      <c r="A674" s="131"/>
      <c r="B674" s="131"/>
      <c r="C674" s="131"/>
      <c r="D674" s="131"/>
      <c r="E674" s="131"/>
    </row>
    <row r="675" spans="1:5" ht="10.5" hidden="1" customHeight="1" x14ac:dyDescent="0.25">
      <c r="A675" s="131"/>
      <c r="B675" s="131"/>
      <c r="C675" s="131"/>
      <c r="D675" s="131"/>
      <c r="E675" s="131"/>
    </row>
    <row r="676" spans="1:5" ht="10.5" hidden="1" customHeight="1" x14ac:dyDescent="0.25">
      <c r="A676" s="131"/>
      <c r="B676" s="131"/>
      <c r="C676" s="131"/>
      <c r="D676" s="131"/>
      <c r="E676" s="131"/>
    </row>
    <row r="677" spans="1:5" ht="10.5" hidden="1" customHeight="1" x14ac:dyDescent="0.25">
      <c r="A677" s="131"/>
      <c r="B677" s="131"/>
      <c r="C677" s="131"/>
      <c r="D677" s="131"/>
      <c r="E677" s="131"/>
    </row>
    <row r="678" spans="1:5" ht="10.5" hidden="1" customHeight="1" x14ac:dyDescent="0.25">
      <c r="A678" s="131"/>
      <c r="B678" s="131"/>
      <c r="C678" s="131"/>
      <c r="D678" s="131"/>
      <c r="E678" s="131"/>
    </row>
    <row r="679" spans="1:5" ht="10.5" hidden="1" customHeight="1" x14ac:dyDescent="0.25">
      <c r="A679" s="131"/>
      <c r="B679" s="131"/>
      <c r="C679" s="131"/>
      <c r="D679" s="131"/>
      <c r="E679" s="131"/>
    </row>
    <row r="680" spans="1:5" ht="10.5" hidden="1" customHeight="1" x14ac:dyDescent="0.25">
      <c r="A680" s="131"/>
      <c r="B680" s="131"/>
      <c r="C680" s="131"/>
      <c r="D680" s="131"/>
      <c r="E680" s="131"/>
    </row>
    <row r="681" spans="1:5" ht="10.5" hidden="1" customHeight="1" x14ac:dyDescent="0.25">
      <c r="A681" s="131"/>
      <c r="B681" s="131"/>
      <c r="C681" s="131"/>
      <c r="D681" s="131"/>
      <c r="E681" s="131"/>
    </row>
    <row r="682" spans="1:5" ht="10.5" hidden="1" customHeight="1" x14ac:dyDescent="0.25">
      <c r="A682" s="131"/>
      <c r="B682" s="131"/>
      <c r="C682" s="131"/>
      <c r="D682" s="131"/>
      <c r="E682" s="131"/>
    </row>
    <row r="683" spans="1:5" ht="10.5" hidden="1" customHeight="1" x14ac:dyDescent="0.25">
      <c r="A683" s="131"/>
      <c r="B683" s="131"/>
      <c r="C683" s="131"/>
      <c r="D683" s="131"/>
      <c r="E683" s="131"/>
    </row>
    <row r="684" spans="1:5" ht="10.5" hidden="1" customHeight="1" x14ac:dyDescent="0.25">
      <c r="A684" s="131"/>
      <c r="B684" s="131"/>
      <c r="C684" s="131"/>
      <c r="D684" s="131"/>
      <c r="E684" s="131"/>
    </row>
    <row r="685" spans="1:5" ht="10.5" hidden="1" customHeight="1" x14ac:dyDescent="0.25">
      <c r="A685" s="131"/>
      <c r="B685" s="131"/>
      <c r="C685" s="131"/>
      <c r="D685" s="131"/>
      <c r="E685" s="131"/>
    </row>
    <row r="686" spans="1:5" ht="10.5" hidden="1" customHeight="1" x14ac:dyDescent="0.25">
      <c r="A686" s="131"/>
      <c r="B686" s="131"/>
      <c r="C686" s="131"/>
      <c r="D686" s="131"/>
      <c r="E686" s="131"/>
    </row>
    <row r="687" spans="1:5" ht="10.5" hidden="1" customHeight="1" x14ac:dyDescent="0.25">
      <c r="A687" s="131"/>
      <c r="B687" s="131"/>
      <c r="C687" s="131"/>
      <c r="D687" s="131"/>
      <c r="E687" s="131"/>
    </row>
    <row r="688" spans="1:5" ht="10.5" hidden="1" customHeight="1" x14ac:dyDescent="0.25">
      <c r="A688" s="131"/>
      <c r="B688" s="131"/>
      <c r="C688" s="131"/>
      <c r="D688" s="131"/>
      <c r="E688" s="131"/>
    </row>
    <row r="689" spans="1:5" ht="10.5" hidden="1" customHeight="1" x14ac:dyDescent="0.25">
      <c r="A689" s="131"/>
      <c r="B689" s="131"/>
      <c r="C689" s="131"/>
      <c r="D689" s="131"/>
      <c r="E689" s="131"/>
    </row>
    <row r="690" spans="1:5" ht="10.5" hidden="1" customHeight="1" x14ac:dyDescent="0.25">
      <c r="A690" s="131"/>
      <c r="B690" s="131"/>
      <c r="C690" s="131"/>
      <c r="D690" s="131"/>
      <c r="E690" s="131"/>
    </row>
    <row r="691" spans="1:5" ht="10.5" hidden="1" customHeight="1" x14ac:dyDescent="0.25">
      <c r="A691" s="131"/>
      <c r="B691" s="131"/>
      <c r="C691" s="131"/>
      <c r="D691" s="131"/>
      <c r="E691" s="131"/>
    </row>
    <row r="692" spans="1:5" ht="10.5" hidden="1" customHeight="1" x14ac:dyDescent="0.25">
      <c r="A692" s="131"/>
      <c r="B692" s="131"/>
      <c r="C692" s="131"/>
      <c r="D692" s="131"/>
      <c r="E692" s="131"/>
    </row>
    <row r="693" spans="1:5" ht="10.5" hidden="1" customHeight="1" x14ac:dyDescent="0.25">
      <c r="A693" s="131"/>
      <c r="B693" s="131"/>
      <c r="C693" s="131"/>
      <c r="D693" s="131"/>
      <c r="E693" s="131"/>
    </row>
    <row r="694" spans="1:5" ht="10.5" hidden="1" customHeight="1" x14ac:dyDescent="0.25">
      <c r="A694" s="131"/>
      <c r="B694" s="131"/>
      <c r="C694" s="131"/>
      <c r="D694" s="131"/>
      <c r="E694" s="131"/>
    </row>
    <row r="695" spans="1:5" ht="10.5" hidden="1" customHeight="1" x14ac:dyDescent="0.25">
      <c r="A695" s="131"/>
      <c r="B695" s="131"/>
      <c r="C695" s="131"/>
      <c r="D695" s="131"/>
      <c r="E695" s="131"/>
    </row>
    <row r="696" spans="1:5" ht="10.5" hidden="1" customHeight="1" x14ac:dyDescent="0.25">
      <c r="A696" s="131"/>
      <c r="B696" s="131"/>
      <c r="C696" s="131"/>
      <c r="D696" s="131"/>
      <c r="E696" s="131"/>
    </row>
    <row r="697" spans="1:5" ht="10.5" hidden="1" customHeight="1" x14ac:dyDescent="0.25">
      <c r="A697" s="131"/>
      <c r="B697" s="131"/>
      <c r="C697" s="131"/>
      <c r="D697" s="131"/>
      <c r="E697" s="131"/>
    </row>
    <row r="698" spans="1:5" ht="10.5" hidden="1" customHeight="1" x14ac:dyDescent="0.25">
      <c r="A698" s="131"/>
      <c r="B698" s="131"/>
      <c r="C698" s="131"/>
      <c r="D698" s="131"/>
      <c r="E698" s="131"/>
    </row>
    <row r="699" spans="1:5" ht="10.5" hidden="1" customHeight="1" x14ac:dyDescent="0.25">
      <c r="A699" s="131"/>
      <c r="B699" s="131"/>
      <c r="C699" s="131"/>
      <c r="D699" s="131"/>
      <c r="E699" s="131"/>
    </row>
    <row r="700" spans="1:5" ht="10.5" hidden="1" customHeight="1" x14ac:dyDescent="0.25">
      <c r="A700" s="131"/>
      <c r="B700" s="131"/>
      <c r="C700" s="131"/>
      <c r="D700" s="131"/>
      <c r="E700" s="131"/>
    </row>
    <row r="701" spans="1:5" ht="10.5" hidden="1" customHeight="1" x14ac:dyDescent="0.25">
      <c r="A701" s="131"/>
      <c r="B701" s="131"/>
      <c r="C701" s="131"/>
      <c r="D701" s="131"/>
      <c r="E701" s="131"/>
    </row>
    <row r="702" spans="1:5" ht="10.5" hidden="1" customHeight="1" x14ac:dyDescent="0.25">
      <c r="A702" s="131"/>
      <c r="B702" s="131"/>
      <c r="C702" s="131"/>
      <c r="D702" s="131"/>
      <c r="E702" s="131"/>
    </row>
    <row r="703" spans="1:5" ht="10.5" hidden="1" customHeight="1" x14ac:dyDescent="0.25">
      <c r="A703" s="131"/>
      <c r="B703" s="131"/>
      <c r="C703" s="131"/>
      <c r="D703" s="131"/>
      <c r="E703" s="131"/>
    </row>
    <row r="704" spans="1:5" ht="10.5" hidden="1" customHeight="1" x14ac:dyDescent="0.25">
      <c r="A704" s="131"/>
      <c r="B704" s="131"/>
      <c r="C704" s="131"/>
      <c r="D704" s="131"/>
      <c r="E704" s="131"/>
    </row>
    <row r="705" spans="1:8" ht="10.5" hidden="1" customHeight="1" x14ac:dyDescent="0.25">
      <c r="A705" s="131"/>
      <c r="B705" s="131"/>
      <c r="C705" s="131"/>
      <c r="D705" s="131"/>
      <c r="E705" s="131"/>
    </row>
    <row r="706" spans="1:8" ht="10.5" hidden="1" customHeight="1" x14ac:dyDescent="0.25">
      <c r="A706" s="131"/>
      <c r="B706" s="131"/>
      <c r="C706" s="131"/>
      <c r="D706" s="131"/>
      <c r="E706" s="131"/>
      <c r="F706" s="1"/>
      <c r="G706" s="1"/>
      <c r="H706" s="2"/>
    </row>
    <row r="707" spans="1:8" ht="10.5" hidden="1" customHeight="1" x14ac:dyDescent="0.25">
      <c r="A707" s="131"/>
      <c r="B707" s="131"/>
      <c r="C707" s="131"/>
      <c r="D707" s="131"/>
      <c r="E707" s="131"/>
      <c r="F707" s="1"/>
      <c r="G707" s="1"/>
      <c r="H707" s="2"/>
    </row>
    <row r="708" spans="1:8" s="129" customFormat="1" ht="12.95" hidden="1" customHeight="1" x14ac:dyDescent="0.25">
      <c r="A708" s="126"/>
      <c r="B708" s="127" t="s">
        <v>114</v>
      </c>
      <c r="C708" s="128" t="str">
        <f>A284</f>
        <v>Bonus 5.0 FAR</v>
      </c>
      <c r="D708" s="126"/>
      <c r="E708" s="126"/>
      <c r="H708" s="130"/>
    </row>
    <row r="709" spans="1:8" ht="10.5" hidden="1" customHeight="1" x14ac:dyDescent="0.25">
      <c r="A709" s="131"/>
      <c r="B709" s="131" t="s">
        <v>115</v>
      </c>
      <c r="C709" s="132">
        <f>H283</f>
        <v>50375</v>
      </c>
      <c r="D709" s="131"/>
      <c r="E709" s="131"/>
      <c r="F709" s="1"/>
      <c r="G709" s="1"/>
      <c r="H709" s="2"/>
    </row>
    <row r="710" spans="1:8" ht="10.5" hidden="1" customHeight="1" x14ac:dyDescent="0.25">
      <c r="A710" s="131"/>
      <c r="B710" s="131" t="s">
        <v>116</v>
      </c>
      <c r="C710" s="132">
        <f>H285</f>
        <v>239745</v>
      </c>
      <c r="D710" s="131"/>
      <c r="E710" s="131"/>
      <c r="F710" s="1"/>
      <c r="G710" s="1"/>
      <c r="H710" s="2"/>
    </row>
    <row r="711" spans="1:8" ht="10.5" hidden="1" customHeight="1" x14ac:dyDescent="0.25">
      <c r="A711" s="131"/>
      <c r="B711" s="131" t="s">
        <v>117</v>
      </c>
      <c r="C711" s="132">
        <f>G286</f>
        <v>950</v>
      </c>
      <c r="D711" s="131"/>
      <c r="E711" s="131"/>
      <c r="F711" s="1"/>
      <c r="G711" s="1"/>
      <c r="H711" s="2"/>
    </row>
    <row r="712" spans="1:8" ht="10.5" hidden="1" customHeight="1" x14ac:dyDescent="0.25">
      <c r="A712" s="131"/>
      <c r="B712" s="131" t="s">
        <v>107</v>
      </c>
      <c r="C712" s="132">
        <f>H286</f>
        <v>252.36315789473684</v>
      </c>
      <c r="D712" s="131"/>
      <c r="E712" s="131"/>
      <c r="F712" s="1"/>
      <c r="G712" s="1"/>
      <c r="H712" s="2"/>
    </row>
    <row r="713" spans="1:8" ht="10.5" hidden="1" customHeight="1" x14ac:dyDescent="0.25">
      <c r="A713" s="131"/>
      <c r="B713" s="131" t="s">
        <v>118</v>
      </c>
      <c r="C713" s="132">
        <f>H288</f>
        <v>13.786842105263158</v>
      </c>
      <c r="D713" s="131"/>
      <c r="E713" s="131"/>
      <c r="F713" s="1"/>
      <c r="G713" s="1"/>
      <c r="H713" s="2"/>
    </row>
    <row r="714" spans="1:8" ht="10.5" hidden="1" customHeight="1" x14ac:dyDescent="0.25">
      <c r="A714" s="131"/>
      <c r="B714" s="131" t="s">
        <v>119</v>
      </c>
      <c r="C714" s="132">
        <f>H290</f>
        <v>55.786842105263162</v>
      </c>
      <c r="D714" s="131"/>
      <c r="E714" s="131"/>
      <c r="F714" s="1"/>
      <c r="G714" s="1"/>
      <c r="H714" s="2"/>
    </row>
    <row r="715" spans="1:8" ht="10.5" hidden="1" customHeight="1" x14ac:dyDescent="0.25">
      <c r="A715" s="131"/>
      <c r="B715" s="131" t="s">
        <v>120</v>
      </c>
      <c r="C715" s="132">
        <f>H293</f>
        <v>0</v>
      </c>
      <c r="D715" s="131"/>
      <c r="E715" s="131"/>
      <c r="F715" s="1"/>
      <c r="G715" s="1"/>
      <c r="H715" s="2"/>
    </row>
    <row r="716" spans="1:8" ht="10.5" hidden="1" customHeight="1" x14ac:dyDescent="0.25">
      <c r="A716" s="131"/>
      <c r="B716" s="131"/>
      <c r="C716" s="132"/>
      <c r="D716" s="131"/>
      <c r="E716" s="131"/>
      <c r="F716" s="1"/>
      <c r="G716" s="1"/>
      <c r="H716" s="2"/>
    </row>
    <row r="717" spans="1:8" ht="10.5" hidden="1" customHeight="1" x14ac:dyDescent="0.25">
      <c r="A717" s="131"/>
      <c r="B717" s="133" t="s">
        <v>121</v>
      </c>
      <c r="C717" s="132"/>
      <c r="D717" s="131"/>
      <c r="E717" s="131"/>
      <c r="F717" s="1"/>
      <c r="G717" s="1"/>
      <c r="H717" s="2"/>
    </row>
    <row r="718" spans="1:8" ht="10.5" hidden="1" customHeight="1" x14ac:dyDescent="0.25">
      <c r="A718" s="131"/>
      <c r="B718" s="131" t="s">
        <v>122</v>
      </c>
      <c r="C718" s="134">
        <f>H302</f>
        <v>181698.44652631579</v>
      </c>
      <c r="D718" s="135" t="s">
        <v>123</v>
      </c>
      <c r="E718" s="134">
        <v>1098.26</v>
      </c>
      <c r="F718" s="1"/>
      <c r="G718" s="1"/>
      <c r="H718" s="2"/>
    </row>
    <row r="719" spans="1:8" ht="10.5" hidden="1" customHeight="1" x14ac:dyDescent="0.25">
      <c r="A719" s="131"/>
      <c r="B719" s="131" t="s">
        <v>124</v>
      </c>
      <c r="C719" s="134">
        <f>H303</f>
        <v>395609.38666666666</v>
      </c>
      <c r="D719" s="135" t="s">
        <v>123</v>
      </c>
      <c r="E719" s="134">
        <v>784.93925925925919</v>
      </c>
      <c r="F719" s="1"/>
      <c r="G719" s="1"/>
      <c r="H719" s="2"/>
    </row>
    <row r="720" spans="1:8" ht="10.5" hidden="1" customHeight="1" x14ac:dyDescent="0.25">
      <c r="A720" s="131"/>
      <c r="B720" s="131" t="s">
        <v>125</v>
      </c>
      <c r="C720" s="136">
        <f>H301</f>
        <v>6989166</v>
      </c>
      <c r="D720" s="135" t="s">
        <v>123</v>
      </c>
      <c r="E720" s="134">
        <v>2956.5</v>
      </c>
      <c r="F720" s="1"/>
      <c r="G720" s="1"/>
      <c r="H720" s="2"/>
    </row>
    <row r="721" spans="1:8" ht="10.5" hidden="1" customHeight="1" x14ac:dyDescent="0.25">
      <c r="A721" s="131"/>
      <c r="B721" s="131" t="s">
        <v>126</v>
      </c>
      <c r="C721" s="136">
        <f>H306</f>
        <v>567817.10526315798</v>
      </c>
      <c r="D721" s="135"/>
      <c r="E721" s="134"/>
      <c r="F721" s="1"/>
      <c r="G721" s="1"/>
      <c r="H721" s="2"/>
    </row>
    <row r="722" spans="1:8" ht="10.5" hidden="1" customHeight="1" x14ac:dyDescent="0.25">
      <c r="A722" s="131"/>
      <c r="B722" s="131" t="s">
        <v>127</v>
      </c>
      <c r="C722" s="136">
        <f>H315</f>
        <v>-349458.30000000005</v>
      </c>
      <c r="D722" s="135"/>
      <c r="E722" s="134"/>
    </row>
    <row r="723" spans="1:8" ht="10.5" hidden="1" customHeight="1" x14ac:dyDescent="0.25">
      <c r="A723" s="131"/>
      <c r="B723" s="131" t="s">
        <v>128</v>
      </c>
      <c r="C723" s="136">
        <f>H325</f>
        <v>-2681315.8691644734</v>
      </c>
      <c r="D723" s="131"/>
      <c r="E723" s="131"/>
    </row>
    <row r="724" spans="1:8" ht="10.5" hidden="1" customHeight="1" x14ac:dyDescent="0.25">
      <c r="A724" s="131"/>
      <c r="B724" s="131" t="s">
        <v>129</v>
      </c>
      <c r="C724" s="134">
        <f>SUM(C718:C723)</f>
        <v>5103516.7692916673</v>
      </c>
      <c r="D724" s="131"/>
      <c r="E724" s="131"/>
    </row>
    <row r="725" spans="1:8" ht="10.5" hidden="1" customHeight="1" x14ac:dyDescent="0.25">
      <c r="A725" s="131"/>
      <c r="B725" s="131"/>
      <c r="C725" s="131"/>
      <c r="D725" s="131"/>
      <c r="E725" s="131"/>
    </row>
    <row r="726" spans="1:8" ht="10.5" hidden="1" customHeight="1" x14ac:dyDescent="0.25">
      <c r="A726" s="131"/>
      <c r="B726" s="133" t="s">
        <v>130</v>
      </c>
      <c r="C726" s="131"/>
      <c r="D726" s="131"/>
      <c r="E726" s="131"/>
    </row>
    <row r="727" spans="1:8" ht="10.5" hidden="1" customHeight="1" x14ac:dyDescent="0.25">
      <c r="A727" s="131"/>
      <c r="B727" s="131" t="s">
        <v>131</v>
      </c>
      <c r="C727" s="136">
        <f>H339+H341</f>
        <v>68382844.894736856</v>
      </c>
      <c r="D727" s="131"/>
      <c r="E727" s="131"/>
    </row>
    <row r="728" spans="1:8" ht="10.5" hidden="1" customHeight="1" x14ac:dyDescent="0.25">
      <c r="A728" s="131"/>
      <c r="B728" s="131" t="s">
        <v>132</v>
      </c>
      <c r="C728" s="136">
        <f>H337</f>
        <v>3526250</v>
      </c>
      <c r="D728" s="131"/>
      <c r="E728" s="131"/>
    </row>
    <row r="729" spans="1:8" ht="10.5" hidden="1" customHeight="1" x14ac:dyDescent="0.25">
      <c r="A729" s="131"/>
      <c r="B729" s="131" t="s">
        <v>133</v>
      </c>
      <c r="C729" s="136">
        <f>H342</f>
        <v>12400000</v>
      </c>
      <c r="D729" s="131"/>
      <c r="E729" s="131"/>
    </row>
    <row r="730" spans="1:8" ht="10.5" hidden="1" customHeight="1" x14ac:dyDescent="0.25">
      <c r="A730" s="131"/>
      <c r="B730" s="131" t="s">
        <v>113</v>
      </c>
      <c r="C730" s="136">
        <f>H338</f>
        <v>0</v>
      </c>
      <c r="D730" s="131"/>
      <c r="E730" s="131"/>
    </row>
    <row r="731" spans="1:8" ht="10.5" hidden="1" customHeight="1" x14ac:dyDescent="0.25">
      <c r="A731" s="131"/>
      <c r="B731" s="131" t="s">
        <v>134</v>
      </c>
      <c r="C731" s="136">
        <f>SUM(C727:C730)</f>
        <v>84309094.894736856</v>
      </c>
      <c r="D731" s="135" t="s">
        <v>135</v>
      </c>
      <c r="E731" s="136">
        <f>C731/C712</f>
        <v>334078.45898767444</v>
      </c>
    </row>
    <row r="732" spans="1:8" ht="10.5" hidden="1" customHeight="1" x14ac:dyDescent="0.25">
      <c r="A732" s="131"/>
      <c r="B732" s="131"/>
      <c r="C732" s="131"/>
      <c r="D732" s="131"/>
      <c r="E732" s="131"/>
    </row>
    <row r="733" spans="1:8" ht="10.5" hidden="1" customHeight="1" x14ac:dyDescent="0.25">
      <c r="A733" s="131"/>
      <c r="B733" s="133" t="s">
        <v>136</v>
      </c>
      <c r="C733" s="137">
        <f>C724/C731</f>
        <v>6.0533407168747382E-2</v>
      </c>
      <c r="D733" s="131"/>
      <c r="E733" s="131"/>
    </row>
    <row r="734" spans="1:8" ht="10.5" hidden="1" customHeight="1" x14ac:dyDescent="0.25">
      <c r="A734" s="131"/>
      <c r="B734" s="131"/>
      <c r="C734" s="131"/>
      <c r="D734" s="131"/>
      <c r="E734" s="131"/>
    </row>
    <row r="735" spans="1:8" ht="10.5" hidden="1" customHeight="1" x14ac:dyDescent="0.25">
      <c r="A735" s="131"/>
      <c r="B735" s="131"/>
      <c r="C735" s="131"/>
      <c r="D735" s="131"/>
      <c r="E735" s="131"/>
    </row>
    <row r="736" spans="1:8" ht="10.5" hidden="1" customHeight="1" x14ac:dyDescent="0.25">
      <c r="A736" s="131"/>
      <c r="B736" s="131"/>
      <c r="C736" s="131"/>
      <c r="D736" s="131"/>
      <c r="E736" s="131"/>
    </row>
    <row r="737" spans="1:5" ht="10.5" hidden="1" customHeight="1" x14ac:dyDescent="0.25">
      <c r="A737" s="131"/>
      <c r="B737" s="131"/>
      <c r="C737" s="131"/>
      <c r="D737" s="131"/>
      <c r="E737" s="131"/>
    </row>
    <row r="738" spans="1:5" ht="10.5" hidden="1" customHeight="1" x14ac:dyDescent="0.25">
      <c r="A738" s="131"/>
      <c r="B738" s="131"/>
      <c r="C738" s="131"/>
      <c r="D738" s="131"/>
      <c r="E738" s="131"/>
    </row>
    <row r="739" spans="1:5" ht="10.5" hidden="1" customHeight="1" x14ac:dyDescent="0.25">
      <c r="A739" s="131"/>
      <c r="B739" s="131"/>
      <c r="C739" s="131"/>
      <c r="D739" s="131"/>
      <c r="E739" s="131"/>
    </row>
    <row r="740" spans="1:5" ht="10.5" hidden="1" customHeight="1" x14ac:dyDescent="0.25">
      <c r="A740" s="131"/>
      <c r="B740" s="131"/>
      <c r="C740" s="131"/>
      <c r="D740" s="131"/>
      <c r="E740" s="131"/>
    </row>
    <row r="741" spans="1:5" ht="10.5" hidden="1" customHeight="1" x14ac:dyDescent="0.25">
      <c r="A741" s="131"/>
      <c r="B741" s="131"/>
      <c r="C741" s="131"/>
      <c r="D741" s="131"/>
      <c r="E741" s="131"/>
    </row>
    <row r="742" spans="1:5" ht="10.5" hidden="1" customHeight="1" x14ac:dyDescent="0.25">
      <c r="A742" s="131"/>
      <c r="B742" s="131"/>
      <c r="C742" s="131"/>
      <c r="D742" s="131"/>
      <c r="E742" s="131"/>
    </row>
    <row r="743" spans="1:5" ht="10.5" hidden="1" customHeight="1" x14ac:dyDescent="0.25">
      <c r="A743" s="131"/>
      <c r="B743" s="131"/>
      <c r="C743" s="131"/>
      <c r="D743" s="131"/>
      <c r="E743" s="131"/>
    </row>
    <row r="744" spans="1:5" ht="10.5" hidden="1" customHeight="1" x14ac:dyDescent="0.25">
      <c r="A744" s="131"/>
      <c r="B744" s="131"/>
      <c r="C744" s="131"/>
      <c r="D744" s="131"/>
      <c r="E744" s="131"/>
    </row>
    <row r="745" spans="1:5" ht="10.5" hidden="1" customHeight="1" x14ac:dyDescent="0.25">
      <c r="A745" s="131"/>
      <c r="B745" s="131"/>
      <c r="C745" s="131"/>
      <c r="D745" s="131"/>
      <c r="E745" s="131"/>
    </row>
    <row r="746" spans="1:5" ht="10.5" hidden="1" customHeight="1" x14ac:dyDescent="0.25">
      <c r="A746" s="131"/>
      <c r="B746" s="131"/>
      <c r="C746" s="131"/>
      <c r="D746" s="131"/>
      <c r="E746" s="131"/>
    </row>
    <row r="747" spans="1:5" ht="10.5" hidden="1" customHeight="1" x14ac:dyDescent="0.25">
      <c r="A747" s="131"/>
      <c r="B747" s="131"/>
      <c r="C747" s="131"/>
      <c r="D747" s="131"/>
      <c r="E747" s="131"/>
    </row>
    <row r="748" spans="1:5" ht="10.5" hidden="1" customHeight="1" x14ac:dyDescent="0.25">
      <c r="A748" s="131"/>
      <c r="B748" s="131"/>
      <c r="C748" s="131"/>
      <c r="D748" s="131"/>
      <c r="E748" s="131"/>
    </row>
    <row r="749" spans="1:5" ht="10.5" hidden="1" customHeight="1" x14ac:dyDescent="0.25">
      <c r="A749" s="131"/>
      <c r="B749" s="131"/>
      <c r="C749" s="131"/>
      <c r="D749" s="131"/>
      <c r="E749" s="131"/>
    </row>
    <row r="750" spans="1:5" ht="10.5" hidden="1" customHeight="1" x14ac:dyDescent="0.25">
      <c r="A750" s="131"/>
      <c r="B750" s="131"/>
      <c r="C750" s="131"/>
      <c r="D750" s="131"/>
      <c r="E750" s="131"/>
    </row>
    <row r="751" spans="1:5" ht="10.5" hidden="1" customHeight="1" x14ac:dyDescent="0.25">
      <c r="A751" s="131"/>
      <c r="B751" s="131"/>
      <c r="C751" s="131"/>
      <c r="D751" s="131"/>
      <c r="E751" s="131"/>
    </row>
    <row r="752" spans="1:5" ht="10.5" hidden="1" customHeight="1" x14ac:dyDescent="0.25">
      <c r="A752" s="131"/>
      <c r="B752" s="131"/>
      <c r="C752" s="131"/>
      <c r="D752" s="131"/>
      <c r="E752" s="131"/>
    </row>
    <row r="753" spans="1:5" ht="10.5" hidden="1" customHeight="1" x14ac:dyDescent="0.25">
      <c r="A753" s="131"/>
      <c r="B753" s="131"/>
      <c r="C753" s="131"/>
      <c r="D753" s="131"/>
      <c r="E753" s="131"/>
    </row>
    <row r="754" spans="1:5" ht="10.5" hidden="1" customHeight="1" x14ac:dyDescent="0.25">
      <c r="A754" s="131"/>
      <c r="B754" s="131"/>
      <c r="C754" s="131"/>
      <c r="D754" s="131"/>
      <c r="E754" s="131"/>
    </row>
    <row r="755" spans="1:5" ht="10.5" hidden="1" customHeight="1" x14ac:dyDescent="0.25">
      <c r="A755" s="131"/>
      <c r="B755" s="131"/>
      <c r="C755" s="131"/>
      <c r="D755" s="131"/>
      <c r="E755" s="131"/>
    </row>
    <row r="756" spans="1:5" ht="10.5" hidden="1" customHeight="1" x14ac:dyDescent="0.25">
      <c r="A756" s="131"/>
      <c r="B756" s="131"/>
      <c r="C756" s="131"/>
      <c r="D756" s="131"/>
      <c r="E756" s="131"/>
    </row>
    <row r="757" spans="1:5" ht="10.5" hidden="1" customHeight="1" x14ac:dyDescent="0.25">
      <c r="A757" s="131"/>
      <c r="B757" s="131"/>
      <c r="C757" s="131"/>
      <c r="D757" s="131"/>
      <c r="E757" s="131"/>
    </row>
    <row r="758" spans="1:5" ht="10.5" hidden="1" customHeight="1" x14ac:dyDescent="0.25">
      <c r="A758" s="131"/>
      <c r="B758" s="131"/>
      <c r="C758" s="131"/>
      <c r="D758" s="131"/>
      <c r="E758" s="131"/>
    </row>
    <row r="759" spans="1:5" ht="10.5" hidden="1" customHeight="1" x14ac:dyDescent="0.25">
      <c r="A759" s="131"/>
      <c r="B759" s="131"/>
      <c r="C759" s="131"/>
      <c r="D759" s="131"/>
      <c r="E759" s="131"/>
    </row>
    <row r="760" spans="1:5" ht="10.5" hidden="1" customHeight="1" x14ac:dyDescent="0.25">
      <c r="A760" s="131"/>
      <c r="B760" s="131"/>
      <c r="C760" s="131"/>
      <c r="D760" s="131"/>
      <c r="E760" s="131"/>
    </row>
    <row r="761" spans="1:5" ht="10.5" hidden="1" customHeight="1" x14ac:dyDescent="0.25">
      <c r="A761" s="131"/>
      <c r="B761" s="131"/>
      <c r="C761" s="131"/>
      <c r="D761" s="131"/>
      <c r="E761" s="131"/>
    </row>
    <row r="762" spans="1:5" ht="10.5" hidden="1" customHeight="1" x14ac:dyDescent="0.25">
      <c r="A762" s="131"/>
      <c r="B762" s="131"/>
      <c r="C762" s="131"/>
      <c r="D762" s="131"/>
      <c r="E762" s="131"/>
    </row>
    <row r="763" spans="1:5" ht="10.5" hidden="1" customHeight="1" x14ac:dyDescent="0.25">
      <c r="A763" s="131"/>
      <c r="B763" s="131"/>
      <c r="C763" s="131"/>
      <c r="D763" s="131"/>
      <c r="E763" s="131"/>
    </row>
    <row r="764" spans="1:5" ht="10.5" hidden="1" customHeight="1" x14ac:dyDescent="0.25">
      <c r="A764" s="131"/>
      <c r="B764" s="131"/>
      <c r="C764" s="131"/>
      <c r="D764" s="131"/>
      <c r="E764" s="131"/>
    </row>
    <row r="765" spans="1:5" ht="10.5" hidden="1" customHeight="1" x14ac:dyDescent="0.25">
      <c r="A765" s="131"/>
      <c r="B765" s="131"/>
      <c r="C765" s="131"/>
      <c r="D765" s="131"/>
      <c r="E765" s="131"/>
    </row>
    <row r="766" spans="1:5" ht="10.5" hidden="1" customHeight="1" x14ac:dyDescent="0.25">
      <c r="A766" s="131"/>
      <c r="B766" s="131"/>
      <c r="C766" s="131"/>
      <c r="D766" s="131"/>
      <c r="E766" s="131"/>
    </row>
    <row r="767" spans="1:5" ht="10.5" hidden="1" customHeight="1" x14ac:dyDescent="0.25">
      <c r="A767" s="131"/>
      <c r="B767" s="131"/>
      <c r="C767" s="131"/>
      <c r="D767" s="131"/>
      <c r="E767" s="131"/>
    </row>
    <row r="768" spans="1:5" ht="10.5" hidden="1" customHeight="1" x14ac:dyDescent="0.25">
      <c r="A768" s="131"/>
      <c r="B768" s="131"/>
      <c r="C768" s="131"/>
      <c r="D768" s="131"/>
      <c r="E768" s="131"/>
    </row>
    <row r="769" spans="1:8" ht="10.5" hidden="1" customHeight="1" x14ac:dyDescent="0.25">
      <c r="A769" s="131"/>
      <c r="B769" s="131"/>
      <c r="C769" s="131"/>
      <c r="D769" s="131"/>
      <c r="E769" s="131"/>
    </row>
    <row r="770" spans="1:8" ht="10.5" hidden="1" customHeight="1" x14ac:dyDescent="0.25">
      <c r="A770" s="131"/>
      <c r="B770" s="131"/>
      <c r="C770" s="131"/>
      <c r="D770" s="131"/>
      <c r="E770" s="131"/>
      <c r="F770" s="1"/>
      <c r="G770" s="1"/>
      <c r="H770" s="2"/>
    </row>
    <row r="771" spans="1:8" ht="10.5" hidden="1" customHeight="1" x14ac:dyDescent="0.25">
      <c r="A771" s="131"/>
      <c r="B771" s="131"/>
      <c r="C771" s="131"/>
      <c r="D771" s="131"/>
      <c r="E771" s="131"/>
      <c r="F771" s="1"/>
      <c r="G771" s="1"/>
      <c r="H771" s="2"/>
    </row>
    <row r="772" spans="1:8" ht="10.5" hidden="1" customHeight="1" x14ac:dyDescent="0.25">
      <c r="A772" s="131"/>
      <c r="B772" s="131"/>
      <c r="C772" s="131"/>
      <c r="D772" s="131"/>
      <c r="E772" s="131"/>
      <c r="F772" s="1"/>
      <c r="G772" s="1"/>
      <c r="H772" s="2"/>
    </row>
    <row r="773" spans="1:8" ht="10.5" hidden="1" customHeight="1" x14ac:dyDescent="0.25">
      <c r="A773" s="131"/>
      <c r="B773" s="131"/>
      <c r="C773" s="131"/>
      <c r="D773" s="131"/>
      <c r="E773" s="131"/>
      <c r="F773" s="1"/>
      <c r="G773" s="1"/>
      <c r="H773" s="2"/>
    </row>
    <row r="774" spans="1:8" ht="10.5" hidden="1" customHeight="1" x14ac:dyDescent="0.25">
      <c r="A774" s="131"/>
      <c r="B774" s="131"/>
      <c r="C774" s="131"/>
      <c r="D774" s="131"/>
      <c r="E774" s="131"/>
      <c r="F774" s="1"/>
      <c r="G774" s="1"/>
      <c r="H774" s="2"/>
    </row>
    <row r="775" spans="1:8" ht="10.5" hidden="1" customHeight="1" x14ac:dyDescent="0.25">
      <c r="A775" s="131"/>
      <c r="B775" s="131"/>
      <c r="C775" s="131"/>
      <c r="D775" s="131"/>
      <c r="E775" s="131"/>
      <c r="F775" s="1"/>
      <c r="G775" s="1"/>
      <c r="H775" s="2"/>
    </row>
    <row r="776" spans="1:8" s="129" customFormat="1" ht="12.95" hidden="1" customHeight="1" x14ac:dyDescent="0.25">
      <c r="A776" s="126"/>
      <c r="B776" s="127" t="s">
        <v>114</v>
      </c>
      <c r="C776" s="128" t="str">
        <f>A352</f>
        <v>Bonus 6.0 FAR</v>
      </c>
      <c r="D776" s="126"/>
      <c r="E776" s="126"/>
      <c r="H776" s="130"/>
    </row>
    <row r="777" spans="1:8" ht="10.5" hidden="1" customHeight="1" x14ac:dyDescent="0.25">
      <c r="A777" s="131"/>
      <c r="B777" s="131" t="s">
        <v>115</v>
      </c>
      <c r="C777" s="132">
        <f>H351</f>
        <v>38850</v>
      </c>
      <c r="D777" s="131"/>
      <c r="E777" s="131"/>
      <c r="F777" s="1"/>
      <c r="G777" s="1"/>
      <c r="H777" s="2"/>
    </row>
    <row r="778" spans="1:8" ht="10.5" hidden="1" customHeight="1" x14ac:dyDescent="0.25">
      <c r="A778" s="131"/>
      <c r="B778" s="131" t="s">
        <v>116</v>
      </c>
      <c r="C778" s="132">
        <f>H353</f>
        <v>247245</v>
      </c>
      <c r="D778" s="131"/>
      <c r="E778" s="131"/>
      <c r="F778" s="1"/>
      <c r="G778" s="1"/>
      <c r="H778" s="2"/>
    </row>
    <row r="779" spans="1:8" ht="10.5" hidden="1" customHeight="1" x14ac:dyDescent="0.25">
      <c r="A779" s="131"/>
      <c r="B779" s="131" t="s">
        <v>117</v>
      </c>
      <c r="C779" s="132">
        <f>G354</f>
        <v>950</v>
      </c>
      <c r="D779" s="131"/>
      <c r="E779" s="131"/>
      <c r="F779" s="1"/>
      <c r="G779" s="1"/>
      <c r="H779" s="2"/>
    </row>
    <row r="780" spans="1:8" ht="10.5" hidden="1" customHeight="1" x14ac:dyDescent="0.25">
      <c r="A780" s="131"/>
      <c r="B780" s="131" t="s">
        <v>107</v>
      </c>
      <c r="C780" s="132">
        <f>H354</f>
        <v>260.2578947368421</v>
      </c>
      <c r="D780" s="131"/>
      <c r="E780" s="131"/>
      <c r="F780" s="1"/>
      <c r="G780" s="1"/>
      <c r="H780" s="2"/>
    </row>
    <row r="781" spans="1:8" ht="10.5" hidden="1" customHeight="1" x14ac:dyDescent="0.25">
      <c r="A781" s="131"/>
      <c r="B781" s="131" t="s">
        <v>118</v>
      </c>
      <c r="C781" s="132">
        <f>H356</f>
        <v>10.632631578947368</v>
      </c>
      <c r="D781" s="131"/>
      <c r="E781" s="131"/>
      <c r="F781" s="1"/>
      <c r="G781" s="1"/>
      <c r="H781" s="2"/>
    </row>
    <row r="782" spans="1:8" ht="10.5" hidden="1" customHeight="1" x14ac:dyDescent="0.25">
      <c r="A782" s="131"/>
      <c r="B782" s="131" t="s">
        <v>119</v>
      </c>
      <c r="C782" s="132">
        <f>H358</f>
        <v>62.632631578947368</v>
      </c>
      <c r="D782" s="131"/>
      <c r="E782" s="131"/>
      <c r="F782" s="1"/>
      <c r="G782" s="1"/>
      <c r="H782" s="2"/>
    </row>
    <row r="783" spans="1:8" ht="10.5" hidden="1" customHeight="1" x14ac:dyDescent="0.25">
      <c r="A783" s="131"/>
      <c r="B783" s="131" t="s">
        <v>120</v>
      </c>
      <c r="C783" s="132">
        <f>H361</f>
        <v>0</v>
      </c>
      <c r="D783" s="131"/>
      <c r="E783" s="131"/>
      <c r="F783" s="1"/>
      <c r="G783" s="1"/>
      <c r="H783" s="2"/>
    </row>
    <row r="784" spans="1:8" ht="10.5" hidden="1" customHeight="1" x14ac:dyDescent="0.25">
      <c r="A784" s="131"/>
      <c r="B784" s="131"/>
      <c r="C784" s="132"/>
      <c r="D784" s="131"/>
      <c r="E784" s="131"/>
      <c r="F784" s="1"/>
      <c r="G784" s="1"/>
      <c r="H784" s="2"/>
    </row>
    <row r="785" spans="1:8" ht="10.5" hidden="1" customHeight="1" x14ac:dyDescent="0.25">
      <c r="A785" s="131"/>
      <c r="B785" s="133" t="s">
        <v>121</v>
      </c>
      <c r="C785" s="132"/>
      <c r="D785" s="131"/>
      <c r="E785" s="131"/>
      <c r="F785" s="1"/>
      <c r="G785" s="1"/>
      <c r="H785" s="2"/>
    </row>
    <row r="786" spans="1:8" ht="10.5" hidden="1" customHeight="1" x14ac:dyDescent="0.25">
      <c r="A786" s="131"/>
      <c r="B786" s="131" t="s">
        <v>122</v>
      </c>
      <c r="C786" s="134">
        <f>H370</f>
        <v>140128.72749473684</v>
      </c>
      <c r="D786" s="135" t="s">
        <v>123</v>
      </c>
      <c r="E786" s="134">
        <v>1098.26</v>
      </c>
    </row>
    <row r="787" spans="1:8" ht="10.5" hidden="1" customHeight="1" x14ac:dyDescent="0.25">
      <c r="A787" s="131"/>
      <c r="B787" s="131" t="s">
        <v>124</v>
      </c>
      <c r="C787" s="134">
        <f>H371</f>
        <v>489802.0977777777</v>
      </c>
      <c r="D787" s="135" t="s">
        <v>123</v>
      </c>
      <c r="E787" s="134">
        <v>784.93925925925919</v>
      </c>
    </row>
    <row r="788" spans="1:8" ht="10.5" hidden="1" customHeight="1" x14ac:dyDescent="0.25">
      <c r="A788" s="131"/>
      <c r="B788" s="131" t="s">
        <v>125</v>
      </c>
      <c r="C788" s="136">
        <f>H369</f>
        <v>7024644</v>
      </c>
      <c r="D788" s="135" t="s">
        <v>123</v>
      </c>
      <c r="E788" s="134">
        <v>2956.5</v>
      </c>
    </row>
    <row r="789" spans="1:8" ht="10.5" hidden="1" customHeight="1" x14ac:dyDescent="0.25">
      <c r="A789" s="131"/>
      <c r="B789" s="131" t="s">
        <v>126</v>
      </c>
      <c r="C789" s="136">
        <f>H374</f>
        <v>585580.26315789472</v>
      </c>
      <c r="D789" s="135"/>
      <c r="E789" s="134"/>
    </row>
    <row r="790" spans="1:8" ht="10.5" hidden="1" customHeight="1" x14ac:dyDescent="0.25">
      <c r="A790" s="131"/>
      <c r="B790" s="131" t="s">
        <v>127</v>
      </c>
      <c r="C790" s="136">
        <f>H383</f>
        <v>-351232.2</v>
      </c>
      <c r="D790" s="135"/>
      <c r="E790" s="134"/>
    </row>
    <row r="791" spans="1:8" ht="10.5" hidden="1" customHeight="1" x14ac:dyDescent="0.25">
      <c r="A791" s="131"/>
      <c r="B791" s="131" t="s">
        <v>128</v>
      </c>
      <c r="C791" s="136">
        <f>H393</f>
        <v>-2743594.2770842104</v>
      </c>
      <c r="D791" s="131"/>
      <c r="E791" s="131"/>
    </row>
    <row r="792" spans="1:8" ht="10.5" hidden="1" customHeight="1" x14ac:dyDescent="0.25">
      <c r="A792" s="131"/>
      <c r="B792" s="131" t="s">
        <v>129</v>
      </c>
      <c r="C792" s="134">
        <f>SUM(C786:C791)</f>
        <v>5145328.6113461982</v>
      </c>
      <c r="D792" s="131"/>
      <c r="E792" s="131"/>
    </row>
    <row r="793" spans="1:8" ht="10.5" hidden="1" customHeight="1" x14ac:dyDescent="0.25">
      <c r="A793" s="131"/>
      <c r="B793" s="131"/>
      <c r="C793" s="131"/>
      <c r="D793" s="131"/>
      <c r="E793" s="131"/>
    </row>
    <row r="794" spans="1:8" ht="10.5" hidden="1" customHeight="1" x14ac:dyDescent="0.25">
      <c r="A794" s="131"/>
      <c r="B794" s="133" t="s">
        <v>130</v>
      </c>
      <c r="C794" s="131"/>
      <c r="D794" s="131"/>
      <c r="E794" s="131"/>
    </row>
    <row r="795" spans="1:8" ht="10.5" hidden="1" customHeight="1" x14ac:dyDescent="0.25">
      <c r="A795" s="131"/>
      <c r="B795" s="131" t="s">
        <v>131</v>
      </c>
      <c r="C795" s="136">
        <f>H407+H409</f>
        <v>70522081.736842111</v>
      </c>
      <c r="D795" s="131"/>
      <c r="E795" s="131"/>
    </row>
    <row r="796" spans="1:8" ht="10.5" hidden="1" customHeight="1" x14ac:dyDescent="0.25">
      <c r="A796" s="131"/>
      <c r="B796" s="131" t="s">
        <v>132</v>
      </c>
      <c r="C796" s="136">
        <f>H405</f>
        <v>2719500</v>
      </c>
      <c r="D796" s="131"/>
      <c r="E796" s="131"/>
    </row>
    <row r="797" spans="1:8" ht="10.5" hidden="1" customHeight="1" x14ac:dyDescent="0.25">
      <c r="A797" s="131"/>
      <c r="B797" s="131" t="s">
        <v>133</v>
      </c>
      <c r="C797" s="136">
        <f>H410</f>
        <v>12700000</v>
      </c>
      <c r="D797" s="131"/>
      <c r="E797" s="131"/>
    </row>
    <row r="798" spans="1:8" ht="10.5" hidden="1" customHeight="1" x14ac:dyDescent="0.25">
      <c r="A798" s="131"/>
      <c r="B798" s="131" t="s">
        <v>113</v>
      </c>
      <c r="C798" s="136">
        <f>H406</f>
        <v>0</v>
      </c>
      <c r="D798" s="131"/>
      <c r="E798" s="131"/>
    </row>
    <row r="799" spans="1:8" ht="10.5" hidden="1" customHeight="1" x14ac:dyDescent="0.25">
      <c r="A799" s="131"/>
      <c r="B799" s="131" t="s">
        <v>134</v>
      </c>
      <c r="C799" s="136">
        <f>SUM(C795:C798)</f>
        <v>85941581.736842111</v>
      </c>
      <c r="D799" s="135" t="s">
        <v>135</v>
      </c>
      <c r="E799" s="136">
        <f>C799/C780</f>
        <v>330217.00196161703</v>
      </c>
    </row>
    <row r="800" spans="1:8" ht="10.5" hidden="1" customHeight="1" x14ac:dyDescent="0.25">
      <c r="A800" s="131"/>
      <c r="B800" s="131"/>
      <c r="C800" s="131"/>
      <c r="D800" s="131"/>
      <c r="E800" s="131"/>
    </row>
    <row r="801" spans="1:5" ht="10.5" hidden="1" customHeight="1" x14ac:dyDescent="0.25">
      <c r="A801" s="131"/>
      <c r="B801" s="133" t="s">
        <v>136</v>
      </c>
      <c r="C801" s="137">
        <f>C792/C799</f>
        <v>5.9870071126936895E-2</v>
      </c>
      <c r="D801" s="131"/>
      <c r="E801" s="131"/>
    </row>
    <row r="802" spans="1:5" hidden="1" x14ac:dyDescent="0.25">
      <c r="B802" s="118"/>
      <c r="C802" s="139"/>
    </row>
    <row r="803" spans="1:5" hidden="1" x14ac:dyDescent="0.25">
      <c r="B803" s="118"/>
      <c r="C803" s="139"/>
    </row>
    <row r="804" spans="1:5" x14ac:dyDescent="0.25">
      <c r="B804" s="118"/>
      <c r="C804" s="139"/>
    </row>
    <row r="805" spans="1:5" x14ac:dyDescent="0.25">
      <c r="B805" s="1"/>
      <c r="C805" s="1"/>
    </row>
  </sheetData>
  <autoFilter ref="A1:H416"/>
  <pageMargins left="0.7" right="0.7" top="0.75" bottom="0.75" header="0.3" footer="0.3"/>
  <pageSetup scale="68" orientation="portrait" horizontalDpi="1200" verticalDpi="1200" r:id="rId1"/>
  <headerFooter>
    <oddFooter>&amp;L&amp;A&amp;C&amp;F&amp;R&amp;P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Assumptions</vt:lpstr>
      <vt:lpstr>ModelParcel</vt:lpstr>
      <vt:lpstr>Blended Bonus 26</vt:lpstr>
      <vt:lpstr>Blended Bonus 27</vt:lpstr>
      <vt:lpstr>Blended Bonus 28</vt:lpstr>
      <vt:lpstr>Blended Bonus 29</vt:lpstr>
      <vt:lpstr>Assumptions!Print_Area</vt:lpstr>
      <vt:lpstr>'Blended Bonus 26'!Print_Area</vt:lpstr>
      <vt:lpstr>'Blended Bonus 27'!Print_Area</vt:lpstr>
      <vt:lpstr>'Blended Bonus 28'!Print_Area</vt:lpstr>
      <vt:lpstr>'Blended Bonus 29'!Print_Area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McColl, Kevin</dc:creator>
  <cp:lastModifiedBy>timd</cp:lastModifiedBy>
  <cp:lastPrinted>2016-08-17T13:26:24Z</cp:lastPrinted>
  <dcterms:created xsi:type="dcterms:W3CDTF">2016-06-03T16:34:04Z</dcterms:created>
  <dcterms:modified xsi:type="dcterms:W3CDTF">2016-09-21T13:33:09Z</dcterms:modified>
</cp:coreProperties>
</file>