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brafile\Data\Everyone\TimD\My Documents\PLAN-JPROX\Modeling\FinalOutputs\"/>
    </mc:Choice>
  </mc:AlternateContent>
  <workbookProtection workbookAlgorithmName="SHA-512" workbookHashValue="7MWUpRaqdqSvY2dUBOmXVgti/ZoEjX8nEtvF8TEBcZN4BRO17Eo3MvSIgGCuQDKlLoEEoNJEP8k4uApF+E9q7w==" workbookSaltValue="+tOacOT9Yx6grMi0NOT5GQ==" workbookSpinCount="100000" lockStructure="1"/>
  <bookViews>
    <workbookView xWindow="0" yWindow="0" windowWidth="9825" windowHeight="10995" firstSheet="1" activeTab="1"/>
  </bookViews>
  <sheets>
    <sheet name="Low Rise Test Proforma" sheetId="1" state="hidden" r:id="rId1"/>
    <sheet name="Assumptions" sheetId="3" r:id="rId2"/>
    <sheet name="CondoModel" sheetId="2" r:id="rId3"/>
  </sheets>
  <definedNames>
    <definedName name="_xlnm.Print_Area" localSheetId="1">Assumptions!$A$1:$B$37</definedName>
    <definedName name="_xlnm.Print_Area" localSheetId="2">CondoModel!#REF!</definedName>
    <definedName name="_xlnm.Print_Area" localSheetId="0">'Low Rise Test Proforma'!$A$1:$H$67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" l="1"/>
  <c r="G32" i="2" l="1"/>
  <c r="G31" i="2"/>
  <c r="F20" i="2" l="1"/>
  <c r="F28" i="2" l="1"/>
  <c r="M11" i="3"/>
  <c r="J11" i="3"/>
  <c r="K11" i="3"/>
  <c r="L11" i="3"/>
  <c r="I11" i="3"/>
  <c r="F42" i="2"/>
  <c r="F43" i="2"/>
  <c r="F40" i="2"/>
  <c r="G24" i="2"/>
  <c r="H17" i="2"/>
  <c r="E12" i="2"/>
  <c r="E10" i="2"/>
  <c r="E9" i="2"/>
  <c r="H11" i="2"/>
  <c r="K4" i="2"/>
  <c r="K5" i="2" s="1"/>
  <c r="B7" i="3"/>
  <c r="B5" i="3"/>
  <c r="F13" i="3"/>
  <c r="B13" i="3" s="1"/>
  <c r="F8" i="3" s="1"/>
  <c r="B19" i="3" s="1"/>
  <c r="G25" i="2" s="1"/>
  <c r="M10" i="3"/>
  <c r="M9" i="3"/>
  <c r="M8" i="3"/>
  <c r="M7" i="3"/>
  <c r="M6" i="3"/>
  <c r="M5" i="3"/>
  <c r="M4" i="3"/>
  <c r="M3" i="3"/>
  <c r="N11" i="3" l="1"/>
  <c r="E24" i="2"/>
  <c r="E25" i="2" s="1"/>
  <c r="E26" i="2" s="1"/>
  <c r="F6" i="3"/>
  <c r="B21" i="3" s="1"/>
  <c r="G27" i="2" s="1"/>
  <c r="N4" i="3"/>
  <c r="N3" i="3"/>
  <c r="N10" i="3"/>
  <c r="N5" i="3"/>
  <c r="N8" i="3"/>
  <c r="N6" i="3"/>
  <c r="N9" i="3"/>
  <c r="N7" i="3"/>
  <c r="B12" i="3"/>
  <c r="G7" i="2" s="1"/>
  <c r="H7" i="2" s="1"/>
  <c r="F3" i="3"/>
  <c r="F7" i="3"/>
  <c r="F5" i="3"/>
  <c r="F10" i="3"/>
  <c r="F9" i="3"/>
  <c r="F4" i="3"/>
  <c r="D28" i="2" l="1"/>
  <c r="F24" i="2"/>
  <c r="L4" i="2"/>
  <c r="H9" i="2" s="1"/>
  <c r="D25" i="2" s="1"/>
  <c r="E27" i="2"/>
  <c r="M4" i="2"/>
  <c r="B20" i="3"/>
  <c r="G26" i="2" s="1"/>
  <c r="F26" i="2" s="1"/>
  <c r="L6" i="2" l="1"/>
  <c r="O4" i="2"/>
  <c r="M6" i="2"/>
  <c r="H10" i="2"/>
  <c r="D26" i="2" s="1"/>
  <c r="F27" i="2"/>
  <c r="D41" i="2" l="1"/>
  <c r="H40" i="2"/>
  <c r="D57" i="1"/>
  <c r="C33" i="1"/>
  <c r="C32" i="1"/>
  <c r="C31" i="1"/>
  <c r="C30" i="1"/>
  <c r="E28" i="1"/>
  <c r="H59" i="1" s="1"/>
  <c r="H24" i="1"/>
  <c r="H33" i="1" s="1"/>
  <c r="F24" i="1"/>
  <c r="H23" i="1"/>
  <c r="H32" i="1" s="1"/>
  <c r="F23" i="1"/>
  <c r="G20" i="1"/>
  <c r="F20" i="1" s="1"/>
  <c r="G5" i="1"/>
  <c r="H4" i="1"/>
  <c r="H56" i="1" s="1"/>
  <c r="H2" i="1"/>
  <c r="E21" i="1" l="1"/>
  <c r="E22" i="1" s="1"/>
  <c r="H43" i="1"/>
  <c r="H5" i="1"/>
  <c r="E27" i="1"/>
  <c r="H58" i="1" s="1"/>
  <c r="H61" i="1" s="1"/>
  <c r="H25" i="2" l="1"/>
  <c r="D26" i="1"/>
  <c r="D21" i="1"/>
  <c r="D20" i="1" s="1"/>
  <c r="H8" i="1"/>
  <c r="F57" i="1" s="1"/>
  <c r="H57" i="1" s="1"/>
  <c r="D25" i="1"/>
  <c r="D22" i="1"/>
  <c r="H22" i="1" s="1"/>
  <c r="G22" i="1" s="1"/>
  <c r="H21" i="1" l="1"/>
  <c r="H10" i="1"/>
  <c r="H20" i="1"/>
  <c r="E26" i="1"/>
  <c r="H25" i="1"/>
  <c r="H60" i="1"/>
  <c r="H62" i="1" s="1"/>
  <c r="D60" i="1"/>
  <c r="H42" i="1"/>
  <c r="H39" i="1"/>
  <c r="D56" i="1"/>
  <c r="H64" i="1" l="1"/>
  <c r="H63" i="1"/>
  <c r="H41" i="1"/>
  <c r="F41" i="1" s="1"/>
  <c r="H40" i="1"/>
  <c r="F40" i="1" s="1"/>
  <c r="H30" i="1"/>
  <c r="H26" i="1"/>
  <c r="H31" i="1"/>
  <c r="G21" i="1"/>
  <c r="H26" i="2" l="1"/>
  <c r="H44" i="1"/>
  <c r="H34" i="1"/>
  <c r="H36" i="1" s="1"/>
  <c r="H46" i="1" l="1"/>
  <c r="J46" i="1" s="1"/>
  <c r="J47" i="1" s="1"/>
  <c r="J48" i="1" s="1"/>
  <c r="F44" i="1"/>
  <c r="D44" i="1"/>
  <c r="F46" i="1" l="1"/>
  <c r="F66" i="1"/>
  <c r="H15" i="1" s="1"/>
  <c r="H49" i="1"/>
  <c r="H50" i="1" s="1"/>
  <c r="H66" i="1" s="1"/>
  <c r="D46" i="1"/>
  <c r="J49" i="1"/>
  <c r="J50" i="1" s="1"/>
  <c r="H52" i="1" l="1"/>
  <c r="K52" i="1" s="1"/>
  <c r="H51" i="1"/>
  <c r="H5" i="2"/>
  <c r="D40" i="2"/>
  <c r="K6" i="2"/>
  <c r="H42" i="2"/>
  <c r="N5" i="2" l="1"/>
  <c r="O5" i="2" l="1"/>
  <c r="N6" i="2"/>
  <c r="O6" i="2" l="1"/>
  <c r="H12" i="2"/>
  <c r="D27" i="2" s="1"/>
  <c r="H13" i="2" l="1"/>
  <c r="F41" i="2" s="1"/>
  <c r="H41" i="2" l="1"/>
  <c r="H15" i="2"/>
  <c r="H14" i="2"/>
  <c r="D24" i="2"/>
  <c r="H8" i="2" s="1"/>
  <c r="H27" i="2"/>
  <c r="H24" i="2" l="1"/>
  <c r="D43" i="2"/>
  <c r="H28" i="2"/>
  <c r="H29" i="2" l="1"/>
  <c r="H32" i="2" s="1"/>
  <c r="H43" i="2"/>
  <c r="H31" i="2" l="1"/>
  <c r="H33" i="2" s="1"/>
  <c r="H35" i="2" s="1"/>
  <c r="H44" i="2"/>
  <c r="H45" i="2" s="1"/>
  <c r="F49" i="2" l="1"/>
  <c r="H49" i="2"/>
  <c r="H50" i="2" s="1"/>
  <c r="H19" i="2" s="1"/>
  <c r="H36" i="2"/>
  <c r="H37" i="2"/>
  <c r="H46" i="2"/>
  <c r="H47" i="2"/>
  <c r="K10" i="2" l="1"/>
  <c r="K9" i="2"/>
  <c r="K13" i="2"/>
  <c r="K12" i="2"/>
  <c r="K8" i="2"/>
  <c r="K11" i="2"/>
</calcChain>
</file>

<file path=xl/sharedStrings.xml><?xml version="1.0" encoding="utf-8"?>
<sst xmlns="http://schemas.openxmlformats.org/spreadsheetml/2006/main" count="252" uniqueCount="176">
  <si>
    <t>Low Rise</t>
  </si>
  <si>
    <t>Program</t>
  </si>
  <si>
    <t>Use:</t>
  </si>
  <si>
    <t xml:space="preserve">Multi-family </t>
  </si>
  <si>
    <t>Apartment</t>
  </si>
  <si>
    <t>Density Bonus Study</t>
  </si>
  <si>
    <t>Site Area</t>
  </si>
  <si>
    <t>Acres</t>
  </si>
  <si>
    <t>SF Land</t>
  </si>
  <si>
    <t>Base Model</t>
  </si>
  <si>
    <t>Density</t>
  </si>
  <si>
    <t>FAR</t>
  </si>
  <si>
    <t>Onsite</t>
  </si>
  <si>
    <t>Type &amp; FAR (GSF)</t>
  </si>
  <si>
    <t>Stick Over Podium</t>
  </si>
  <si>
    <t>Units (SF per)</t>
  </si>
  <si>
    <t>Parking Ratio</t>
  </si>
  <si>
    <t>Affordability</t>
  </si>
  <si>
    <t>Affordability % (of Total Units)</t>
  </si>
  <si>
    <t>Affordable Units</t>
  </si>
  <si>
    <t>Affordability % (of Market Rate Units)</t>
  </si>
  <si>
    <t xml:space="preserve">Buyout Cost/Unit </t>
  </si>
  <si>
    <t>Off-site Purchase or Production Cost/Unit</t>
  </si>
  <si>
    <t>Average AMI</t>
  </si>
  <si>
    <t>Test Results</t>
  </si>
  <si>
    <t>Return on Cost Threshold</t>
  </si>
  <si>
    <t>Results</t>
  </si>
  <si>
    <t>Required Rent</t>
  </si>
  <si>
    <t>Per SF/Mo</t>
  </si>
  <si>
    <t>Gross Potential Income</t>
  </si>
  <si>
    <t>Revenues - Private</t>
  </si>
  <si>
    <t>Units</t>
  </si>
  <si>
    <t>Unit Size</t>
  </si>
  <si>
    <t>Monthly Rent</t>
  </si>
  <si>
    <t>Rent/SF or /Space</t>
  </si>
  <si>
    <t>Annual Rent</t>
  </si>
  <si>
    <t>Market Rate Apartments</t>
  </si>
  <si>
    <t>Market Rate</t>
  </si>
  <si>
    <t>Affordable (70% AMI)</t>
  </si>
  <si>
    <t>Low Income</t>
  </si>
  <si>
    <t>Affordable Apartments (100% AMI)</t>
  </si>
  <si>
    <t>Moderate Income</t>
  </si>
  <si>
    <t>Commercial</t>
  </si>
  <si>
    <t>Market Rate Retail</t>
  </si>
  <si>
    <t>Affordable Innovation</t>
  </si>
  <si>
    <t>Residential Parking Spaces</t>
  </si>
  <si>
    <t>RSF Residential</t>
  </si>
  <si>
    <t>Residential Efficiency &amp; GSF</t>
  </si>
  <si>
    <t>Commercial Efficiency &amp; GSF</t>
  </si>
  <si>
    <t>Vacancy &amp; Collection Losses</t>
  </si>
  <si>
    <t>Total Vacancy Loss</t>
  </si>
  <si>
    <t>Effective Gross Income</t>
  </si>
  <si>
    <t>Non-Reimburseable Expenses</t>
  </si>
  <si>
    <t>Residential</t>
  </si>
  <si>
    <t>Operating</t>
  </si>
  <si>
    <t>Per Unit</t>
  </si>
  <si>
    <t>RE Taxes</t>
  </si>
  <si>
    <t>of Resi PGI</t>
  </si>
  <si>
    <t>Management</t>
  </si>
  <si>
    <t>of Resi EGI</t>
  </si>
  <si>
    <t>Reserves</t>
  </si>
  <si>
    <t xml:space="preserve"> Mgt &amp; Reserves</t>
  </si>
  <si>
    <t>of Gross</t>
  </si>
  <si>
    <t>Subtotal</t>
  </si>
  <si>
    <t>of EGI</t>
  </si>
  <si>
    <t>Net Operating Income</t>
  </si>
  <si>
    <t>DS</t>
  </si>
  <si>
    <t>Mort</t>
  </si>
  <si>
    <t>Capitalized Value of Residential On Completion-At Stabilization</t>
  </si>
  <si>
    <t>Equity</t>
  </si>
  <si>
    <t>Capitalization Rate</t>
  </si>
  <si>
    <t>New Construction</t>
  </si>
  <si>
    <t>Overall Rate</t>
  </si>
  <si>
    <t>CF</t>
  </si>
  <si>
    <t>Rounded</t>
  </si>
  <si>
    <t>Cash-On-Cash</t>
  </si>
  <si>
    <t>Per GSF</t>
  </si>
  <si>
    <t>Development Cost</t>
  </si>
  <si>
    <t>Land</t>
  </si>
  <si>
    <t>Per FAR</t>
  </si>
  <si>
    <t>Buyout or Offsite Cost</t>
  </si>
  <si>
    <t>per GSF</t>
  </si>
  <si>
    <t>Parking</t>
  </si>
  <si>
    <t>Above Grade Garage</t>
  </si>
  <si>
    <t>Spaces</t>
  </si>
  <si>
    <t>per space</t>
  </si>
  <si>
    <t>Soft Costs (includes financing, fee etc.)</t>
  </si>
  <si>
    <t>of Hard Cost</t>
  </si>
  <si>
    <t>Entrepreneurial Return</t>
  </si>
  <si>
    <t>Unlevered Return on Cost (NOI/Cost)</t>
  </si>
  <si>
    <t>Margin (Value-Cost)</t>
  </si>
  <si>
    <t>Per SF</t>
  </si>
  <si>
    <t>Total Income</t>
  </si>
  <si>
    <t>Market Price</t>
  </si>
  <si>
    <t>Onsite Affordable Units</t>
  </si>
  <si>
    <t>Sales  Price</t>
  </si>
  <si>
    <t>Value of Residential On Completion</t>
  </si>
  <si>
    <t>Total Affordability (Onsite+Cash) Rate</t>
  </si>
  <si>
    <t>Brokerage</t>
  </si>
  <si>
    <t>Marketing</t>
  </si>
  <si>
    <t>Marketing/Sales Expense</t>
  </si>
  <si>
    <t>Return On Investment</t>
  </si>
  <si>
    <t>Condo</t>
  </si>
  <si>
    <t>Rate on Bonus Units</t>
  </si>
  <si>
    <t>CONDO OPTION</t>
  </si>
  <si>
    <t xml:space="preserve">Buyout Units </t>
  </si>
  <si>
    <t>Base FAR</t>
  </si>
  <si>
    <t>Assumptions</t>
  </si>
  <si>
    <t>Analysis</t>
  </si>
  <si>
    <t>Density Bonus, Base FAR/1.0</t>
  </si>
  <si>
    <t>AMI</t>
  </si>
  <si>
    <t>Studio</t>
  </si>
  <si>
    <t>One</t>
  </si>
  <si>
    <t>Two</t>
  </si>
  <si>
    <t>Three</t>
  </si>
  <si>
    <t>Average</t>
  </si>
  <si>
    <t>Avg/SF</t>
  </si>
  <si>
    <t>General</t>
  </si>
  <si>
    <t>Density AMI</t>
  </si>
  <si>
    <t>Density Bonus % of Units</t>
  </si>
  <si>
    <t>Density Bonus FAR</t>
  </si>
  <si>
    <t>Average Unit Size (GSF)</t>
  </si>
  <si>
    <t>Average Unit Size (NSF)</t>
  </si>
  <si>
    <t>Building Type</t>
  </si>
  <si>
    <t>Stick over Podium</t>
  </si>
  <si>
    <t>Market</t>
  </si>
  <si>
    <t>Income and Expenses</t>
  </si>
  <si>
    <t>SF</t>
  </si>
  <si>
    <t>Size</t>
  </si>
  <si>
    <t>Share</t>
  </si>
  <si>
    <t xml:space="preserve"> </t>
  </si>
  <si>
    <t>Development Costs</t>
  </si>
  <si>
    <t>Buy Out Cost/Unit</t>
  </si>
  <si>
    <t>Land/SF</t>
  </si>
  <si>
    <t>Residential Construction/SF</t>
  </si>
  <si>
    <t>Parking/Space</t>
  </si>
  <si>
    <t>Soft Costs (% of hard costs)</t>
  </si>
  <si>
    <t>Marketing and Sales Costs</t>
  </si>
  <si>
    <t>Brokerage (%)</t>
  </si>
  <si>
    <t>Marketing  (%)</t>
  </si>
  <si>
    <t>Returns</t>
  </si>
  <si>
    <t>Return on Cost (%)</t>
  </si>
  <si>
    <t>Incentivized Return on Cost</t>
  </si>
  <si>
    <t>Weighted Sales Price, by AMI</t>
  </si>
  <si>
    <t>$/SF</t>
  </si>
  <si>
    <t>Sales Price  and Share, By Unit Size</t>
  </si>
  <si>
    <t>IDP AMI (Upper Tier)</t>
  </si>
  <si>
    <t>IDP (Upper Tier) % of Units</t>
  </si>
  <si>
    <t>IDP AMI (Lower Tier)</t>
  </si>
  <si>
    <t>Market $/SF</t>
  </si>
  <si>
    <t>IDP Upper Tier $/SF</t>
  </si>
  <si>
    <t>IDP Lower Tier $/SF</t>
  </si>
  <si>
    <t>Density $/SF</t>
  </si>
  <si>
    <t>Parking $/Space</t>
  </si>
  <si>
    <t>Density Bonus</t>
  </si>
  <si>
    <t>Base Density</t>
  </si>
  <si>
    <t>Sq Ft</t>
  </si>
  <si>
    <t>IDP Upper Tier</t>
  </si>
  <si>
    <t>IDP Lower Tier</t>
  </si>
  <si>
    <t>DB Units</t>
  </si>
  <si>
    <t>Total Units</t>
  </si>
  <si>
    <t xml:space="preserve">Total </t>
  </si>
  <si>
    <t>Base Onsite @</t>
  </si>
  <si>
    <t>Bonus Onsite @</t>
  </si>
  <si>
    <t>Unit Sales</t>
  </si>
  <si>
    <t>Total Revenues</t>
  </si>
  <si>
    <t>Total Marketing/Sales Expense</t>
  </si>
  <si>
    <t>Total Development Costs</t>
  </si>
  <si>
    <t>IDP (Lower Tier) % of Units</t>
  </si>
  <si>
    <t xml:space="preserve">Revenues </t>
  </si>
  <si>
    <t>Parking Spaces</t>
  </si>
  <si>
    <t>Result</t>
  </si>
  <si>
    <t>Market Units</t>
  </si>
  <si>
    <t>IDP 100% AMI</t>
  </si>
  <si>
    <t>IDP 80% AMI</t>
  </si>
  <si>
    <t>20% Set Aside, at 80% of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</si>
</sst>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_);[Red]\(0\)"/>
    <numFmt numFmtId="167" formatCode="0.00_);[Red]\(0.00\)"/>
    <numFmt numFmtId="168" formatCode="0.0%"/>
    <numFmt numFmtId="169" formatCode="&quot;$&quot;#,##0.00"/>
    <numFmt numFmtId="170" formatCode="&quot;$&quot;#,##0"/>
    <numFmt numFmtId="171" formatCode="_(&quot;$&quot;* #,##0_);_(&quot;$&quot;* \(#,##0\);_(&quot;$&quot;* &quot;-&quot;??_);_(@_)"/>
    <numFmt numFmtId="172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FFFF00"/>
      <name val="Calibri"/>
      <family val="2"/>
      <scheme val="minor"/>
    </font>
    <font>
      <sz val="11.5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4" fillId="3" borderId="3" xfId="0" applyFont="1" applyFill="1" applyBorder="1"/>
    <xf numFmtId="6" fontId="2" fillId="3" borderId="3" xfId="0" applyNumberFormat="1" applyFont="1" applyFill="1" applyBorder="1"/>
    <xf numFmtId="0" fontId="5" fillId="3" borderId="3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0" borderId="0" xfId="0" applyFont="1"/>
    <xf numFmtId="0" fontId="2" fillId="2" borderId="4" xfId="0" applyFont="1" applyFill="1" applyBorder="1"/>
    <xf numFmtId="0" fontId="3" fillId="2" borderId="5" xfId="0" applyFont="1" applyFill="1" applyBorder="1"/>
    <xf numFmtId="0" fontId="4" fillId="3" borderId="0" xfId="0" applyFont="1" applyFill="1" applyBorder="1"/>
    <xf numFmtId="6" fontId="2" fillId="3" borderId="0" xfId="0" applyNumberFormat="1" applyFont="1" applyFill="1" applyBorder="1"/>
    <xf numFmtId="6" fontId="2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3" fontId="2" fillId="3" borderId="5" xfId="0" applyNumberFormat="1" applyFont="1" applyFill="1" applyBorder="1" applyAlignment="1">
      <alignment horizontal="right"/>
    </xf>
    <xf numFmtId="0" fontId="5" fillId="0" borderId="0" xfId="0" applyFont="1" applyBorder="1"/>
    <xf numFmtId="164" fontId="4" fillId="3" borderId="0" xfId="0" applyNumberFormat="1" applyFont="1" applyFill="1" applyBorder="1" applyAlignment="1">
      <alignment horizontal="right"/>
    </xf>
    <xf numFmtId="165" fontId="4" fillId="3" borderId="5" xfId="0" applyNumberFormat="1" applyFont="1" applyFill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4" fillId="0" borderId="0" xfId="0" applyFont="1" applyBorder="1"/>
    <xf numFmtId="0" fontId="5" fillId="3" borderId="0" xfId="0" applyFont="1" applyFill="1" applyBorder="1"/>
    <xf numFmtId="0" fontId="4" fillId="3" borderId="0" xfId="0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0" fontId="5" fillId="0" borderId="4" xfId="0" applyFont="1" applyBorder="1"/>
    <xf numFmtId="38" fontId="4" fillId="3" borderId="0" xfId="0" applyNumberFormat="1" applyFont="1" applyFill="1" applyBorder="1" applyAlignment="1">
      <alignment horizontal="right"/>
    </xf>
    <xf numFmtId="166" fontId="4" fillId="3" borderId="5" xfId="0" applyNumberFormat="1" applyFont="1" applyFill="1" applyBorder="1" applyAlignment="1">
      <alignment horizontal="right"/>
    </xf>
    <xf numFmtId="6" fontId="4" fillId="3" borderId="0" xfId="0" applyNumberFormat="1" applyFont="1" applyFill="1" applyBorder="1" applyAlignment="1">
      <alignment horizontal="right"/>
    </xf>
    <xf numFmtId="167" fontId="4" fillId="3" borderId="5" xfId="0" applyNumberFormat="1" applyFont="1" applyFill="1" applyBorder="1" applyAlignment="1">
      <alignment horizontal="right"/>
    </xf>
    <xf numFmtId="0" fontId="4" fillId="4" borderId="0" xfId="0" applyFont="1" applyFill="1" applyBorder="1"/>
    <xf numFmtId="0" fontId="5" fillId="4" borderId="0" xfId="0" applyFont="1" applyFill="1" applyBorder="1"/>
    <xf numFmtId="9" fontId="4" fillId="4" borderId="5" xfId="2" applyNumberFormat="1" applyFont="1" applyFill="1" applyBorder="1"/>
    <xf numFmtId="0" fontId="4" fillId="0" borderId="0" xfId="0" applyFont="1" applyFill="1" applyBorder="1"/>
    <xf numFmtId="3" fontId="4" fillId="4" borderId="5" xfId="2" applyNumberFormat="1" applyFont="1" applyFill="1" applyBorder="1"/>
    <xf numFmtId="9" fontId="4" fillId="4" borderId="5" xfId="2" applyFont="1" applyFill="1" applyBorder="1"/>
    <xf numFmtId="6" fontId="4" fillId="4" borderId="5" xfId="0" applyNumberFormat="1" applyFont="1" applyFill="1" applyBorder="1"/>
    <xf numFmtId="10" fontId="4" fillId="0" borderId="5" xfId="0" applyNumberFormat="1" applyFont="1" applyBorder="1"/>
    <xf numFmtId="0" fontId="4" fillId="5" borderId="0" xfId="0" applyFont="1" applyFill="1" applyBorder="1"/>
    <xf numFmtId="0" fontId="5" fillId="5" borderId="0" xfId="0" applyFont="1" applyFill="1" applyBorder="1"/>
    <xf numFmtId="168" fontId="4" fillId="5" borderId="0" xfId="0" applyNumberFormat="1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168" fontId="4" fillId="5" borderId="5" xfId="0" applyNumberFormat="1" applyFont="1" applyFill="1" applyBorder="1"/>
    <xf numFmtId="169" fontId="4" fillId="5" borderId="0" xfId="0" applyNumberFormat="1" applyFont="1" applyFill="1" applyBorder="1"/>
    <xf numFmtId="6" fontId="5" fillId="5" borderId="5" xfId="0" applyNumberFormat="1" applyFont="1" applyFill="1" applyBorder="1"/>
    <xf numFmtId="0" fontId="5" fillId="0" borderId="0" xfId="0" applyFont="1" applyFill="1" applyBorder="1"/>
    <xf numFmtId="6" fontId="4" fillId="0" borderId="5" xfId="0" applyNumberFormat="1" applyFont="1" applyFill="1" applyBorder="1"/>
    <xf numFmtId="0" fontId="6" fillId="0" borderId="1" xfId="0" applyFont="1" applyBorder="1"/>
    <xf numFmtId="0" fontId="5" fillId="0" borderId="3" xfId="0" applyFont="1" applyFill="1" applyBorder="1"/>
    <xf numFmtId="6" fontId="5" fillId="0" borderId="2" xfId="0" applyNumberFormat="1" applyFont="1" applyFill="1" applyBorder="1"/>
    <xf numFmtId="0" fontId="7" fillId="0" borderId="4" xfId="0" applyFont="1" applyBorder="1" applyAlignment="1"/>
    <xf numFmtId="0" fontId="7" fillId="0" borderId="8" xfId="0" applyFont="1" applyFill="1" applyBorder="1" applyAlignment="1">
      <alignment wrapText="1"/>
    </xf>
    <xf numFmtId="0" fontId="8" fillId="0" borderId="8" xfId="0" applyFont="1" applyFill="1" applyBorder="1" applyAlignment="1">
      <alignment horizontal="right" wrapText="1"/>
    </xf>
    <xf numFmtId="6" fontId="8" fillId="0" borderId="9" xfId="0" applyNumberFormat="1" applyFont="1" applyFill="1" applyBorder="1" applyAlignment="1">
      <alignment horizontal="right" wrapText="1"/>
    </xf>
    <xf numFmtId="166" fontId="5" fillId="0" borderId="0" xfId="0" applyNumberFormat="1" applyFont="1" applyBorder="1"/>
    <xf numFmtId="3" fontId="5" fillId="0" borderId="0" xfId="0" applyNumberFormat="1" applyFont="1" applyFill="1" applyBorder="1"/>
    <xf numFmtId="170" fontId="5" fillId="0" borderId="0" xfId="0" applyNumberFormat="1" applyFont="1" applyFill="1" applyBorder="1"/>
    <xf numFmtId="169" fontId="5" fillId="0" borderId="0" xfId="0" applyNumberFormat="1" applyFont="1" applyFill="1" applyBorder="1"/>
    <xf numFmtId="6" fontId="5" fillId="0" borderId="5" xfId="0" applyNumberFormat="1" applyFont="1" applyFill="1" applyBorder="1"/>
    <xf numFmtId="9" fontId="5" fillId="0" borderId="0" xfId="0" applyNumberFormat="1" applyFont="1" applyFill="1" applyBorder="1"/>
    <xf numFmtId="0" fontId="5" fillId="0" borderId="8" xfId="0" applyFont="1" applyFill="1" applyBorder="1"/>
    <xf numFmtId="3" fontId="5" fillId="0" borderId="8" xfId="0" applyNumberFormat="1" applyFont="1" applyFill="1" applyBorder="1"/>
    <xf numFmtId="170" fontId="5" fillId="0" borderId="8" xfId="0" applyNumberFormat="1" applyFont="1" applyFill="1" applyBorder="1"/>
    <xf numFmtId="6" fontId="5" fillId="0" borderId="9" xfId="0" applyNumberFormat="1" applyFont="1" applyFill="1" applyBorder="1"/>
    <xf numFmtId="9" fontId="5" fillId="0" borderId="0" xfId="2" applyFont="1" applyFill="1" applyBorder="1"/>
    <xf numFmtId="0" fontId="6" fillId="0" borderId="4" xfId="0" applyFont="1" applyBorder="1"/>
    <xf numFmtId="168" fontId="5" fillId="0" borderId="0" xfId="2" applyNumberFormat="1" applyFont="1" applyFill="1" applyBorder="1"/>
    <xf numFmtId="168" fontId="5" fillId="0" borderId="8" xfId="2" applyNumberFormat="1" applyFont="1" applyFill="1" applyBorder="1"/>
    <xf numFmtId="0" fontId="5" fillId="0" borderId="8" xfId="0" applyFont="1" applyFill="1" applyBorder="1" applyAlignment="1">
      <alignment horizontal="left"/>
    </xf>
    <xf numFmtId="9" fontId="5" fillId="0" borderId="8" xfId="2" applyFont="1" applyFill="1" applyBorder="1"/>
    <xf numFmtId="171" fontId="5" fillId="0" borderId="1" xfId="1" applyNumberFormat="1" applyFont="1" applyBorder="1"/>
    <xf numFmtId="0" fontId="5" fillId="0" borderId="2" xfId="0" applyFont="1" applyBorder="1"/>
    <xf numFmtId="171" fontId="5" fillId="0" borderId="4" xfId="1" applyNumberFormat="1" applyFont="1" applyBorder="1"/>
    <xf numFmtId="0" fontId="5" fillId="0" borderId="5" xfId="0" applyFont="1" applyBorder="1"/>
    <xf numFmtId="44" fontId="5" fillId="0" borderId="4" xfId="0" applyNumberFormat="1" applyFont="1" applyBorder="1"/>
    <xf numFmtId="0" fontId="5" fillId="0" borderId="0" xfId="0" applyFont="1" applyFill="1" applyBorder="1" applyAlignment="1">
      <alignment horizontal="right"/>
    </xf>
    <xf numFmtId="10" fontId="5" fillId="0" borderId="0" xfId="2" applyNumberFormat="1" applyFont="1" applyFill="1" applyBorder="1"/>
    <xf numFmtId="168" fontId="5" fillId="0" borderId="6" xfId="2" applyNumberFormat="1" applyFont="1" applyBorder="1"/>
    <xf numFmtId="0" fontId="5" fillId="0" borderId="7" xfId="0" applyFont="1" applyBorder="1"/>
    <xf numFmtId="6" fontId="5" fillId="0" borderId="0" xfId="0" applyNumberFormat="1" applyFont="1"/>
    <xf numFmtId="0" fontId="5" fillId="0" borderId="10" xfId="0" applyFont="1" applyBorder="1"/>
    <xf numFmtId="0" fontId="5" fillId="0" borderId="8" xfId="0" applyFont="1" applyFill="1" applyBorder="1" applyAlignment="1">
      <alignment horizontal="right"/>
    </xf>
    <xf numFmtId="0" fontId="3" fillId="0" borderId="4" xfId="0" applyFont="1" applyBorder="1"/>
    <xf numFmtId="0" fontId="5" fillId="0" borderId="6" xfId="0" applyFont="1" applyBorder="1"/>
    <xf numFmtId="0" fontId="5" fillId="0" borderId="11" xfId="0" applyFont="1" applyFill="1" applyBorder="1"/>
    <xf numFmtId="0" fontId="5" fillId="0" borderId="11" xfId="0" applyFont="1" applyBorder="1"/>
    <xf numFmtId="6" fontId="5" fillId="0" borderId="7" xfId="0" applyNumberFormat="1" applyFont="1" applyFill="1" applyBorder="1"/>
    <xf numFmtId="0" fontId="9" fillId="0" borderId="0" xfId="0" applyFont="1"/>
    <xf numFmtId="0" fontId="0" fillId="0" borderId="0" xfId="0" applyAlignment="1">
      <alignment horizontal="center" wrapText="1"/>
    </xf>
    <xf numFmtId="9" fontId="0" fillId="0" borderId="0" xfId="0" applyNumberFormat="1"/>
    <xf numFmtId="44" fontId="0" fillId="0" borderId="0" xfId="0" applyNumberFormat="1"/>
    <xf numFmtId="171" fontId="0" fillId="0" borderId="0" xfId="1" applyNumberFormat="1" applyFont="1"/>
    <xf numFmtId="171" fontId="0" fillId="0" borderId="0" xfId="0" applyNumberFormat="1"/>
    <xf numFmtId="9" fontId="0" fillId="0" borderId="0" xfId="2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172" fontId="0" fillId="0" borderId="0" xfId="3" applyNumberFormat="1" applyFont="1"/>
    <xf numFmtId="2" fontId="0" fillId="0" borderId="0" xfId="0" applyNumberFormat="1"/>
    <xf numFmtId="171" fontId="0" fillId="0" borderId="0" xfId="1" applyNumberFormat="1" applyFont="1" applyAlignment="1">
      <alignment horizontal="center" wrapText="1"/>
    </xf>
    <xf numFmtId="1" fontId="0" fillId="0" borderId="0" xfId="0" applyNumberFormat="1"/>
    <xf numFmtId="168" fontId="0" fillId="0" borderId="0" xfId="2" applyNumberFormat="1" applyFont="1" applyAlignment="1">
      <alignment horizontal="center" wrapText="1"/>
    </xf>
    <xf numFmtId="168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6" fontId="0" fillId="0" borderId="0" xfId="0" applyNumberFormat="1" applyAlignment="1">
      <alignment horizontal="center" wrapText="1"/>
    </xf>
    <xf numFmtId="9" fontId="0" fillId="0" borderId="0" xfId="0" applyNumberFormat="1" applyAlignment="1">
      <alignment horizontal="center" wrapText="1"/>
    </xf>
    <xf numFmtId="9" fontId="0" fillId="0" borderId="0" xfId="2" applyNumberFormat="1" applyFont="1" applyAlignment="1">
      <alignment horizontal="center" wrapText="1"/>
    </xf>
    <xf numFmtId="0" fontId="11" fillId="0" borderId="0" xfId="0" applyFont="1"/>
    <xf numFmtId="0" fontId="12" fillId="2" borderId="1" xfId="0" applyFont="1" applyFill="1" applyBorder="1"/>
    <xf numFmtId="0" fontId="10" fillId="3" borderId="3" xfId="0" applyFont="1" applyFill="1" applyBorder="1"/>
    <xf numFmtId="6" fontId="12" fillId="3" borderId="3" xfId="0" applyNumberFormat="1" applyFont="1" applyFill="1" applyBorder="1"/>
    <xf numFmtId="0" fontId="11" fillId="3" borderId="3" xfId="0" applyFont="1" applyFill="1" applyBorder="1"/>
    <xf numFmtId="0" fontId="12" fillId="3" borderId="3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right"/>
    </xf>
    <xf numFmtId="0" fontId="12" fillId="2" borderId="4" xfId="0" applyFont="1" applyFill="1" applyBorder="1"/>
    <xf numFmtId="0" fontId="10" fillId="3" borderId="0" xfId="0" applyFont="1" applyFill="1" applyBorder="1"/>
    <xf numFmtId="6" fontId="12" fillId="3" borderId="0" xfId="0" applyNumberFormat="1" applyFont="1" applyFill="1" applyBorder="1"/>
    <xf numFmtId="6" fontId="12" fillId="3" borderId="0" xfId="0" applyNumberFormat="1" applyFont="1" applyFill="1" applyBorder="1" applyAlignment="1">
      <alignment horizontal="right"/>
    </xf>
    <xf numFmtId="164" fontId="10" fillId="3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right"/>
    </xf>
    <xf numFmtId="3" fontId="13" fillId="3" borderId="5" xfId="0" applyNumberFormat="1" applyFont="1" applyFill="1" applyBorder="1" applyAlignment="1">
      <alignment horizontal="right"/>
    </xf>
    <xf numFmtId="172" fontId="11" fillId="0" borderId="0" xfId="3" applyNumberFormat="1" applyFont="1"/>
    <xf numFmtId="0" fontId="11" fillId="0" borderId="0" xfId="0" applyFont="1" applyBorder="1"/>
    <xf numFmtId="164" fontId="10" fillId="3" borderId="0" xfId="0" applyNumberFormat="1" applyFont="1" applyFill="1" applyBorder="1" applyAlignment="1">
      <alignment horizontal="right"/>
    </xf>
    <xf numFmtId="165" fontId="13" fillId="3" borderId="5" xfId="0" applyNumberFormat="1" applyFont="1" applyFill="1" applyBorder="1" applyAlignment="1">
      <alignment horizontal="right"/>
    </xf>
    <xf numFmtId="0" fontId="10" fillId="0" borderId="0" xfId="0" applyFont="1" applyBorder="1"/>
    <xf numFmtId="0" fontId="11" fillId="3" borderId="0" xfId="0" applyFont="1" applyFill="1" applyBorder="1"/>
    <xf numFmtId="0" fontId="10" fillId="3" borderId="0" xfId="0" applyFont="1" applyFill="1" applyBorder="1" applyAlignment="1">
      <alignment horizontal="right"/>
    </xf>
    <xf numFmtId="3" fontId="11" fillId="0" borderId="0" xfId="0" applyNumberFormat="1" applyFont="1"/>
    <xf numFmtId="43" fontId="11" fillId="0" borderId="0" xfId="3" applyFont="1"/>
    <xf numFmtId="0" fontId="11" fillId="0" borderId="4" xfId="0" applyFont="1" applyBorder="1"/>
    <xf numFmtId="38" fontId="13" fillId="3" borderId="0" xfId="0" applyNumberFormat="1" applyFont="1" applyFill="1" applyBorder="1" applyAlignment="1">
      <alignment horizontal="right"/>
    </xf>
    <xf numFmtId="166" fontId="13" fillId="3" borderId="5" xfId="0" applyNumberFormat="1" applyFont="1" applyFill="1" applyBorder="1" applyAlignment="1">
      <alignment horizontal="right"/>
    </xf>
    <xf numFmtId="1" fontId="11" fillId="0" borderId="0" xfId="0" applyNumberFormat="1" applyFont="1"/>
    <xf numFmtId="6" fontId="10" fillId="3" borderId="0" xfId="0" applyNumberFormat="1" applyFont="1" applyFill="1" applyBorder="1" applyAlignment="1">
      <alignment horizontal="right"/>
    </xf>
    <xf numFmtId="167" fontId="10" fillId="3" borderId="5" xfId="0" applyNumberFormat="1" applyFont="1" applyFill="1" applyBorder="1" applyAlignment="1">
      <alignment horizontal="right"/>
    </xf>
    <xf numFmtId="9" fontId="11" fillId="0" borderId="0" xfId="0" applyNumberFormat="1" applyFont="1"/>
    <xf numFmtId="0" fontId="10" fillId="4" borderId="0" xfId="0" applyFont="1" applyFill="1" applyBorder="1"/>
    <xf numFmtId="0" fontId="11" fillId="4" borderId="0" xfId="0" applyFont="1" applyFill="1" applyBorder="1"/>
    <xf numFmtId="168" fontId="10" fillId="4" borderId="5" xfId="2" applyNumberFormat="1" applyFont="1" applyFill="1" applyBorder="1"/>
    <xf numFmtId="0" fontId="10" fillId="0" borderId="0" xfId="0" applyFont="1" applyFill="1" applyBorder="1"/>
    <xf numFmtId="3" fontId="10" fillId="4" borderId="5" xfId="2" applyNumberFormat="1" applyFont="1" applyFill="1" applyBorder="1"/>
    <xf numFmtId="9" fontId="10" fillId="4" borderId="5" xfId="2" applyNumberFormat="1" applyFont="1" applyFill="1" applyBorder="1"/>
    <xf numFmtId="0" fontId="14" fillId="4" borderId="0" xfId="0" applyFont="1" applyFill="1" applyBorder="1"/>
    <xf numFmtId="0" fontId="15" fillId="4" borderId="0" xfId="0" applyFont="1" applyFill="1" applyBorder="1" applyAlignment="1">
      <alignment horizontal="right" vertical="center"/>
    </xf>
    <xf numFmtId="6" fontId="10" fillId="4" borderId="5" xfId="0" applyNumberFormat="1" applyFont="1" applyFill="1" applyBorder="1"/>
    <xf numFmtId="9" fontId="10" fillId="4" borderId="5" xfId="2" applyFont="1" applyFill="1" applyBorder="1"/>
    <xf numFmtId="0" fontId="10" fillId="5" borderId="0" xfId="0" applyFont="1" applyFill="1" applyBorder="1"/>
    <xf numFmtId="0" fontId="11" fillId="5" borderId="0" xfId="0" applyFont="1" applyFill="1" applyBorder="1"/>
    <xf numFmtId="168" fontId="15" fillId="5" borderId="0" xfId="0" applyNumberFormat="1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168" fontId="15" fillId="5" borderId="5" xfId="0" applyNumberFormat="1" applyFont="1" applyFill="1" applyBorder="1"/>
    <xf numFmtId="6" fontId="11" fillId="5" borderId="5" xfId="0" applyNumberFormat="1" applyFont="1" applyFill="1" applyBorder="1"/>
    <xf numFmtId="0" fontId="11" fillId="0" borderId="0" xfId="0" applyFont="1" applyFill="1" applyBorder="1"/>
    <xf numFmtId="6" fontId="10" fillId="0" borderId="5" xfId="0" applyNumberFormat="1" applyFont="1" applyFill="1" applyBorder="1"/>
    <xf numFmtId="0" fontId="11" fillId="0" borderId="3" xfId="0" applyFont="1" applyFill="1" applyBorder="1"/>
    <xf numFmtId="6" fontId="11" fillId="0" borderId="2" xfId="0" applyNumberFormat="1" applyFont="1" applyFill="1" applyBorder="1"/>
    <xf numFmtId="0" fontId="10" fillId="0" borderId="4" xfId="0" applyFont="1" applyBorder="1" applyAlignment="1"/>
    <xf numFmtId="0" fontId="10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horizontal="right" wrapText="1"/>
    </xf>
    <xf numFmtId="6" fontId="12" fillId="0" borderId="9" xfId="0" applyNumberFormat="1" applyFont="1" applyFill="1" applyBorder="1" applyAlignment="1">
      <alignment horizontal="right" wrapText="1"/>
    </xf>
    <xf numFmtId="166" fontId="11" fillId="0" borderId="0" xfId="0" applyNumberFormat="1" applyFont="1" applyBorder="1"/>
    <xf numFmtId="3" fontId="11" fillId="0" borderId="0" xfId="0" applyNumberFormat="1" applyFont="1" applyFill="1" applyBorder="1"/>
    <xf numFmtId="170" fontId="11" fillId="0" borderId="0" xfId="0" applyNumberFormat="1" applyFont="1" applyFill="1" applyBorder="1"/>
    <xf numFmtId="169" fontId="11" fillId="0" borderId="0" xfId="0" applyNumberFormat="1" applyFont="1" applyFill="1" applyBorder="1"/>
    <xf numFmtId="6" fontId="11" fillId="0" borderId="5" xfId="0" applyNumberFormat="1" applyFont="1" applyFill="1" applyBorder="1"/>
    <xf numFmtId="9" fontId="11" fillId="0" borderId="0" xfId="0" applyNumberFormat="1" applyFont="1" applyFill="1" applyBorder="1"/>
    <xf numFmtId="170" fontId="11" fillId="0" borderId="0" xfId="0" applyNumberFormat="1" applyFont="1" applyFill="1" applyBorder="1" applyAlignment="1">
      <alignment horizontal="right"/>
    </xf>
    <xf numFmtId="0" fontId="11" fillId="0" borderId="8" xfId="0" applyFont="1" applyFill="1" applyBorder="1"/>
    <xf numFmtId="6" fontId="11" fillId="0" borderId="9" xfId="0" applyNumberFormat="1" applyFont="1" applyFill="1" applyBorder="1"/>
    <xf numFmtId="0" fontId="16" fillId="0" borderId="4" xfId="0" applyFont="1" applyBorder="1"/>
    <xf numFmtId="168" fontId="11" fillId="0" borderId="0" xfId="2" applyNumberFormat="1" applyFont="1" applyFill="1" applyBorder="1"/>
    <xf numFmtId="0" fontId="11" fillId="0" borderId="0" xfId="0" applyFont="1" applyFill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9" fontId="11" fillId="0" borderId="8" xfId="2" applyFont="1" applyFill="1" applyBorder="1"/>
    <xf numFmtId="0" fontId="11" fillId="0" borderId="11" xfId="0" applyFont="1" applyFill="1" applyBorder="1"/>
    <xf numFmtId="0" fontId="11" fillId="0" borderId="11" xfId="0" applyFont="1" applyBorder="1"/>
    <xf numFmtId="9" fontId="10" fillId="4" borderId="0" xfId="0" applyNumberFormat="1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11" fillId="0" borderId="4" xfId="0" applyFont="1" applyFill="1" applyBorder="1"/>
    <xf numFmtId="0" fontId="11" fillId="0" borderId="10" xfId="0" applyFont="1" applyFill="1" applyBorder="1"/>
    <xf numFmtId="0" fontId="11" fillId="0" borderId="6" xfId="0" applyFont="1" applyFill="1" applyBorder="1"/>
    <xf numFmtId="170" fontId="10" fillId="5" borderId="0" xfId="0" applyNumberFormat="1" applyFont="1" applyFill="1" applyBorder="1"/>
    <xf numFmtId="0" fontId="10" fillId="0" borderId="4" xfId="0" applyFont="1" applyFill="1" applyBorder="1"/>
    <xf numFmtId="8" fontId="11" fillId="0" borderId="5" xfId="0" applyNumberFormat="1" applyFont="1" applyFill="1" applyBorder="1"/>
    <xf numFmtId="0" fontId="12" fillId="0" borderId="4" xfId="0" applyFont="1" applyBorder="1"/>
    <xf numFmtId="0" fontId="12" fillId="0" borderId="1" xfId="0" applyFont="1" applyBorder="1"/>
    <xf numFmtId="168" fontId="10" fillId="3" borderId="7" xfId="2" applyNumberFormat="1" applyFont="1" applyFill="1" applyBorder="1"/>
    <xf numFmtId="3" fontId="10" fillId="0" borderId="0" xfId="0" applyNumberFormat="1" applyFont="1" applyFill="1" applyBorder="1"/>
    <xf numFmtId="170" fontId="10" fillId="0" borderId="0" xfId="0" applyNumberFormat="1" applyFont="1" applyFill="1" applyBorder="1"/>
    <xf numFmtId="168" fontId="10" fillId="0" borderId="0" xfId="2" applyNumberFormat="1" applyFont="1" applyFill="1" applyBorder="1"/>
    <xf numFmtId="6" fontId="10" fillId="3" borderId="5" xfId="0" applyNumberFormat="1" applyFont="1" applyFill="1" applyBorder="1"/>
    <xf numFmtId="0" fontId="12" fillId="0" borderId="4" xfId="0" applyFont="1" applyFill="1" applyBorder="1"/>
    <xf numFmtId="172" fontId="11" fillId="0" borderId="0" xfId="3" applyNumberFormat="1" applyFont="1" applyBorder="1"/>
    <xf numFmtId="172" fontId="11" fillId="0" borderId="0" xfId="3" applyNumberFormat="1" applyFont="1" applyFill="1" applyBorder="1"/>
    <xf numFmtId="0" fontId="11" fillId="0" borderId="11" xfId="0" applyFont="1" applyFill="1" applyBorder="1" applyAlignment="1">
      <alignment wrapText="1"/>
    </xf>
    <xf numFmtId="0" fontId="0" fillId="0" borderId="0" xfId="0" applyFont="1"/>
    <xf numFmtId="0" fontId="8" fillId="3" borderId="0" xfId="0" applyFont="1" applyFill="1" applyBorder="1" applyAlignment="1">
      <alignment horizontal="left" wrapText="1"/>
    </xf>
    <xf numFmtId="0" fontId="9" fillId="3" borderId="0" xfId="0" applyFont="1" applyFill="1"/>
    <xf numFmtId="0" fontId="17" fillId="0" borderId="0" xfId="0" applyFont="1"/>
    <xf numFmtId="43" fontId="11" fillId="0" borderId="0" xfId="3" applyFont="1" applyFill="1" applyBorder="1"/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opLeftCell="A52" workbookViewId="0">
      <selection activeCell="B9" sqref="B9"/>
    </sheetView>
  </sheetViews>
  <sheetFormatPr defaultRowHeight="12.75" x14ac:dyDescent="0.2"/>
  <cols>
    <col min="1" max="1" width="2.28515625" style="8" customWidth="1"/>
    <col min="2" max="2" width="31.28515625" style="8" customWidth="1"/>
    <col min="3" max="3" width="18.7109375" style="8" customWidth="1"/>
    <col min="4" max="4" width="16" style="8" customWidth="1"/>
    <col min="5" max="5" width="15.140625" style="8" customWidth="1"/>
    <col min="6" max="6" width="12.5703125" style="8" customWidth="1"/>
    <col min="7" max="7" width="17.28515625" style="8" customWidth="1"/>
    <col min="8" max="8" width="19" style="80" customWidth="1"/>
    <col min="9" max="9" width="8.7109375" style="8"/>
    <col min="10" max="10" width="15.140625" style="8" customWidth="1"/>
    <col min="11" max="11" width="12.42578125" style="8" customWidth="1"/>
    <col min="12" max="257" width="8.7109375" style="8"/>
    <col min="258" max="258" width="2.28515625" style="8" customWidth="1"/>
    <col min="259" max="259" width="16.5703125" style="8" customWidth="1"/>
    <col min="260" max="260" width="16" style="8" customWidth="1"/>
    <col min="261" max="261" width="14" style="8" customWidth="1"/>
    <col min="262" max="262" width="16" style="8" customWidth="1"/>
    <col min="263" max="263" width="15.85546875" style="8" customWidth="1"/>
    <col min="264" max="264" width="19" style="8" customWidth="1"/>
    <col min="265" max="266" width="8.7109375" style="8"/>
    <col min="267" max="267" width="10.7109375" style="8" bestFit="1" customWidth="1"/>
    <col min="268" max="513" width="8.7109375" style="8"/>
    <col min="514" max="514" width="2.28515625" style="8" customWidth="1"/>
    <col min="515" max="515" width="16.5703125" style="8" customWidth="1"/>
    <col min="516" max="516" width="16" style="8" customWidth="1"/>
    <col min="517" max="517" width="14" style="8" customWidth="1"/>
    <col min="518" max="518" width="16" style="8" customWidth="1"/>
    <col min="519" max="519" width="15.85546875" style="8" customWidth="1"/>
    <col min="520" max="520" width="19" style="8" customWidth="1"/>
    <col min="521" max="522" width="8.7109375" style="8"/>
    <col min="523" max="523" width="10.7109375" style="8" bestFit="1" customWidth="1"/>
    <col min="524" max="769" width="8.7109375" style="8"/>
    <col min="770" max="770" width="2.28515625" style="8" customWidth="1"/>
    <col min="771" max="771" width="16.5703125" style="8" customWidth="1"/>
    <col min="772" max="772" width="16" style="8" customWidth="1"/>
    <col min="773" max="773" width="14" style="8" customWidth="1"/>
    <col min="774" max="774" width="16" style="8" customWidth="1"/>
    <col min="775" max="775" width="15.85546875" style="8" customWidth="1"/>
    <col min="776" max="776" width="19" style="8" customWidth="1"/>
    <col min="777" max="778" width="8.7109375" style="8"/>
    <col min="779" max="779" width="10.7109375" style="8" bestFit="1" customWidth="1"/>
    <col min="780" max="1025" width="8.7109375" style="8"/>
    <col min="1026" max="1026" width="2.28515625" style="8" customWidth="1"/>
    <col min="1027" max="1027" width="16.5703125" style="8" customWidth="1"/>
    <col min="1028" max="1028" width="16" style="8" customWidth="1"/>
    <col min="1029" max="1029" width="14" style="8" customWidth="1"/>
    <col min="1030" max="1030" width="16" style="8" customWidth="1"/>
    <col min="1031" max="1031" width="15.85546875" style="8" customWidth="1"/>
    <col min="1032" max="1032" width="19" style="8" customWidth="1"/>
    <col min="1033" max="1034" width="8.7109375" style="8"/>
    <col min="1035" max="1035" width="10.7109375" style="8" bestFit="1" customWidth="1"/>
    <col min="1036" max="1281" width="8.7109375" style="8"/>
    <col min="1282" max="1282" width="2.28515625" style="8" customWidth="1"/>
    <col min="1283" max="1283" width="16.5703125" style="8" customWidth="1"/>
    <col min="1284" max="1284" width="16" style="8" customWidth="1"/>
    <col min="1285" max="1285" width="14" style="8" customWidth="1"/>
    <col min="1286" max="1286" width="16" style="8" customWidth="1"/>
    <col min="1287" max="1287" width="15.85546875" style="8" customWidth="1"/>
    <col min="1288" max="1288" width="19" style="8" customWidth="1"/>
    <col min="1289" max="1290" width="8.7109375" style="8"/>
    <col min="1291" max="1291" width="10.7109375" style="8" bestFit="1" customWidth="1"/>
    <col min="1292" max="1537" width="8.7109375" style="8"/>
    <col min="1538" max="1538" width="2.28515625" style="8" customWidth="1"/>
    <col min="1539" max="1539" width="16.5703125" style="8" customWidth="1"/>
    <col min="1540" max="1540" width="16" style="8" customWidth="1"/>
    <col min="1541" max="1541" width="14" style="8" customWidth="1"/>
    <col min="1542" max="1542" width="16" style="8" customWidth="1"/>
    <col min="1543" max="1543" width="15.85546875" style="8" customWidth="1"/>
    <col min="1544" max="1544" width="19" style="8" customWidth="1"/>
    <col min="1545" max="1546" width="8.7109375" style="8"/>
    <col min="1547" max="1547" width="10.7109375" style="8" bestFit="1" customWidth="1"/>
    <col min="1548" max="1793" width="8.7109375" style="8"/>
    <col min="1794" max="1794" width="2.28515625" style="8" customWidth="1"/>
    <col min="1795" max="1795" width="16.5703125" style="8" customWidth="1"/>
    <col min="1796" max="1796" width="16" style="8" customWidth="1"/>
    <col min="1797" max="1797" width="14" style="8" customWidth="1"/>
    <col min="1798" max="1798" width="16" style="8" customWidth="1"/>
    <col min="1799" max="1799" width="15.85546875" style="8" customWidth="1"/>
    <col min="1800" max="1800" width="19" style="8" customWidth="1"/>
    <col min="1801" max="1802" width="8.7109375" style="8"/>
    <col min="1803" max="1803" width="10.7109375" style="8" bestFit="1" customWidth="1"/>
    <col min="1804" max="2049" width="8.7109375" style="8"/>
    <col min="2050" max="2050" width="2.28515625" style="8" customWidth="1"/>
    <col min="2051" max="2051" width="16.5703125" style="8" customWidth="1"/>
    <col min="2052" max="2052" width="16" style="8" customWidth="1"/>
    <col min="2053" max="2053" width="14" style="8" customWidth="1"/>
    <col min="2054" max="2054" width="16" style="8" customWidth="1"/>
    <col min="2055" max="2055" width="15.85546875" style="8" customWidth="1"/>
    <col min="2056" max="2056" width="19" style="8" customWidth="1"/>
    <col min="2057" max="2058" width="8.7109375" style="8"/>
    <col min="2059" max="2059" width="10.7109375" style="8" bestFit="1" customWidth="1"/>
    <col min="2060" max="2305" width="8.7109375" style="8"/>
    <col min="2306" max="2306" width="2.28515625" style="8" customWidth="1"/>
    <col min="2307" max="2307" width="16.5703125" style="8" customWidth="1"/>
    <col min="2308" max="2308" width="16" style="8" customWidth="1"/>
    <col min="2309" max="2309" width="14" style="8" customWidth="1"/>
    <col min="2310" max="2310" width="16" style="8" customWidth="1"/>
    <col min="2311" max="2311" width="15.85546875" style="8" customWidth="1"/>
    <col min="2312" max="2312" width="19" style="8" customWidth="1"/>
    <col min="2313" max="2314" width="8.7109375" style="8"/>
    <col min="2315" max="2315" width="10.7109375" style="8" bestFit="1" customWidth="1"/>
    <col min="2316" max="2561" width="8.7109375" style="8"/>
    <col min="2562" max="2562" width="2.28515625" style="8" customWidth="1"/>
    <col min="2563" max="2563" width="16.5703125" style="8" customWidth="1"/>
    <col min="2564" max="2564" width="16" style="8" customWidth="1"/>
    <col min="2565" max="2565" width="14" style="8" customWidth="1"/>
    <col min="2566" max="2566" width="16" style="8" customWidth="1"/>
    <col min="2567" max="2567" width="15.85546875" style="8" customWidth="1"/>
    <col min="2568" max="2568" width="19" style="8" customWidth="1"/>
    <col min="2569" max="2570" width="8.7109375" style="8"/>
    <col min="2571" max="2571" width="10.7109375" style="8" bestFit="1" customWidth="1"/>
    <col min="2572" max="2817" width="8.7109375" style="8"/>
    <col min="2818" max="2818" width="2.28515625" style="8" customWidth="1"/>
    <col min="2819" max="2819" width="16.5703125" style="8" customWidth="1"/>
    <col min="2820" max="2820" width="16" style="8" customWidth="1"/>
    <col min="2821" max="2821" width="14" style="8" customWidth="1"/>
    <col min="2822" max="2822" width="16" style="8" customWidth="1"/>
    <col min="2823" max="2823" width="15.85546875" style="8" customWidth="1"/>
    <col min="2824" max="2824" width="19" style="8" customWidth="1"/>
    <col min="2825" max="2826" width="8.7109375" style="8"/>
    <col min="2827" max="2827" width="10.7109375" style="8" bestFit="1" customWidth="1"/>
    <col min="2828" max="3073" width="8.7109375" style="8"/>
    <col min="3074" max="3074" width="2.28515625" style="8" customWidth="1"/>
    <col min="3075" max="3075" width="16.5703125" style="8" customWidth="1"/>
    <col min="3076" max="3076" width="16" style="8" customWidth="1"/>
    <col min="3077" max="3077" width="14" style="8" customWidth="1"/>
    <col min="3078" max="3078" width="16" style="8" customWidth="1"/>
    <col min="3079" max="3079" width="15.85546875" style="8" customWidth="1"/>
    <col min="3080" max="3080" width="19" style="8" customWidth="1"/>
    <col min="3081" max="3082" width="8.7109375" style="8"/>
    <col min="3083" max="3083" width="10.7109375" style="8" bestFit="1" customWidth="1"/>
    <col min="3084" max="3329" width="8.7109375" style="8"/>
    <col min="3330" max="3330" width="2.28515625" style="8" customWidth="1"/>
    <col min="3331" max="3331" width="16.5703125" style="8" customWidth="1"/>
    <col min="3332" max="3332" width="16" style="8" customWidth="1"/>
    <col min="3333" max="3333" width="14" style="8" customWidth="1"/>
    <col min="3334" max="3334" width="16" style="8" customWidth="1"/>
    <col min="3335" max="3335" width="15.85546875" style="8" customWidth="1"/>
    <col min="3336" max="3336" width="19" style="8" customWidth="1"/>
    <col min="3337" max="3338" width="8.7109375" style="8"/>
    <col min="3339" max="3339" width="10.7109375" style="8" bestFit="1" customWidth="1"/>
    <col min="3340" max="3585" width="8.7109375" style="8"/>
    <col min="3586" max="3586" width="2.28515625" style="8" customWidth="1"/>
    <col min="3587" max="3587" width="16.5703125" style="8" customWidth="1"/>
    <col min="3588" max="3588" width="16" style="8" customWidth="1"/>
    <col min="3589" max="3589" width="14" style="8" customWidth="1"/>
    <col min="3590" max="3590" width="16" style="8" customWidth="1"/>
    <col min="3591" max="3591" width="15.85546875" style="8" customWidth="1"/>
    <col min="3592" max="3592" width="19" style="8" customWidth="1"/>
    <col min="3593" max="3594" width="8.7109375" style="8"/>
    <col min="3595" max="3595" width="10.7109375" style="8" bestFit="1" customWidth="1"/>
    <col min="3596" max="3841" width="8.7109375" style="8"/>
    <col min="3842" max="3842" width="2.28515625" style="8" customWidth="1"/>
    <col min="3843" max="3843" width="16.5703125" style="8" customWidth="1"/>
    <col min="3844" max="3844" width="16" style="8" customWidth="1"/>
    <col min="3845" max="3845" width="14" style="8" customWidth="1"/>
    <col min="3846" max="3846" width="16" style="8" customWidth="1"/>
    <col min="3847" max="3847" width="15.85546875" style="8" customWidth="1"/>
    <col min="3848" max="3848" width="19" style="8" customWidth="1"/>
    <col min="3849" max="3850" width="8.7109375" style="8"/>
    <col min="3851" max="3851" width="10.7109375" style="8" bestFit="1" customWidth="1"/>
    <col min="3852" max="4097" width="8.7109375" style="8"/>
    <col min="4098" max="4098" width="2.28515625" style="8" customWidth="1"/>
    <col min="4099" max="4099" width="16.5703125" style="8" customWidth="1"/>
    <col min="4100" max="4100" width="16" style="8" customWidth="1"/>
    <col min="4101" max="4101" width="14" style="8" customWidth="1"/>
    <col min="4102" max="4102" width="16" style="8" customWidth="1"/>
    <col min="4103" max="4103" width="15.85546875" style="8" customWidth="1"/>
    <col min="4104" max="4104" width="19" style="8" customWidth="1"/>
    <col min="4105" max="4106" width="8.7109375" style="8"/>
    <col min="4107" max="4107" width="10.7109375" style="8" bestFit="1" customWidth="1"/>
    <col min="4108" max="4353" width="8.7109375" style="8"/>
    <col min="4354" max="4354" width="2.28515625" style="8" customWidth="1"/>
    <col min="4355" max="4355" width="16.5703125" style="8" customWidth="1"/>
    <col min="4356" max="4356" width="16" style="8" customWidth="1"/>
    <col min="4357" max="4357" width="14" style="8" customWidth="1"/>
    <col min="4358" max="4358" width="16" style="8" customWidth="1"/>
    <col min="4359" max="4359" width="15.85546875" style="8" customWidth="1"/>
    <col min="4360" max="4360" width="19" style="8" customWidth="1"/>
    <col min="4361" max="4362" width="8.7109375" style="8"/>
    <col min="4363" max="4363" width="10.7109375" style="8" bestFit="1" customWidth="1"/>
    <col min="4364" max="4609" width="8.7109375" style="8"/>
    <col min="4610" max="4610" width="2.28515625" style="8" customWidth="1"/>
    <col min="4611" max="4611" width="16.5703125" style="8" customWidth="1"/>
    <col min="4612" max="4612" width="16" style="8" customWidth="1"/>
    <col min="4613" max="4613" width="14" style="8" customWidth="1"/>
    <col min="4614" max="4614" width="16" style="8" customWidth="1"/>
    <col min="4615" max="4615" width="15.85546875" style="8" customWidth="1"/>
    <col min="4616" max="4616" width="19" style="8" customWidth="1"/>
    <col min="4617" max="4618" width="8.7109375" style="8"/>
    <col min="4619" max="4619" width="10.7109375" style="8" bestFit="1" customWidth="1"/>
    <col min="4620" max="4865" width="8.7109375" style="8"/>
    <col min="4866" max="4866" width="2.28515625" style="8" customWidth="1"/>
    <col min="4867" max="4867" width="16.5703125" style="8" customWidth="1"/>
    <col min="4868" max="4868" width="16" style="8" customWidth="1"/>
    <col min="4869" max="4869" width="14" style="8" customWidth="1"/>
    <col min="4870" max="4870" width="16" style="8" customWidth="1"/>
    <col min="4871" max="4871" width="15.85546875" style="8" customWidth="1"/>
    <col min="4872" max="4872" width="19" style="8" customWidth="1"/>
    <col min="4873" max="4874" width="8.7109375" style="8"/>
    <col min="4875" max="4875" width="10.7109375" style="8" bestFit="1" customWidth="1"/>
    <col min="4876" max="5121" width="8.7109375" style="8"/>
    <col min="5122" max="5122" width="2.28515625" style="8" customWidth="1"/>
    <col min="5123" max="5123" width="16.5703125" style="8" customWidth="1"/>
    <col min="5124" max="5124" width="16" style="8" customWidth="1"/>
    <col min="5125" max="5125" width="14" style="8" customWidth="1"/>
    <col min="5126" max="5126" width="16" style="8" customWidth="1"/>
    <col min="5127" max="5127" width="15.85546875" style="8" customWidth="1"/>
    <col min="5128" max="5128" width="19" style="8" customWidth="1"/>
    <col min="5129" max="5130" width="8.7109375" style="8"/>
    <col min="5131" max="5131" width="10.7109375" style="8" bestFit="1" customWidth="1"/>
    <col min="5132" max="5377" width="8.7109375" style="8"/>
    <col min="5378" max="5378" width="2.28515625" style="8" customWidth="1"/>
    <col min="5379" max="5379" width="16.5703125" style="8" customWidth="1"/>
    <col min="5380" max="5380" width="16" style="8" customWidth="1"/>
    <col min="5381" max="5381" width="14" style="8" customWidth="1"/>
    <col min="5382" max="5382" width="16" style="8" customWidth="1"/>
    <col min="5383" max="5383" width="15.85546875" style="8" customWidth="1"/>
    <col min="5384" max="5384" width="19" style="8" customWidth="1"/>
    <col min="5385" max="5386" width="8.7109375" style="8"/>
    <col min="5387" max="5387" width="10.7109375" style="8" bestFit="1" customWidth="1"/>
    <col min="5388" max="5633" width="8.7109375" style="8"/>
    <col min="5634" max="5634" width="2.28515625" style="8" customWidth="1"/>
    <col min="5635" max="5635" width="16.5703125" style="8" customWidth="1"/>
    <col min="5636" max="5636" width="16" style="8" customWidth="1"/>
    <col min="5637" max="5637" width="14" style="8" customWidth="1"/>
    <col min="5638" max="5638" width="16" style="8" customWidth="1"/>
    <col min="5639" max="5639" width="15.85546875" style="8" customWidth="1"/>
    <col min="5640" max="5640" width="19" style="8" customWidth="1"/>
    <col min="5641" max="5642" width="8.7109375" style="8"/>
    <col min="5643" max="5643" width="10.7109375" style="8" bestFit="1" customWidth="1"/>
    <col min="5644" max="5889" width="8.7109375" style="8"/>
    <col min="5890" max="5890" width="2.28515625" style="8" customWidth="1"/>
    <col min="5891" max="5891" width="16.5703125" style="8" customWidth="1"/>
    <col min="5892" max="5892" width="16" style="8" customWidth="1"/>
    <col min="5893" max="5893" width="14" style="8" customWidth="1"/>
    <col min="5894" max="5894" width="16" style="8" customWidth="1"/>
    <col min="5895" max="5895" width="15.85546875" style="8" customWidth="1"/>
    <col min="5896" max="5896" width="19" style="8" customWidth="1"/>
    <col min="5897" max="5898" width="8.7109375" style="8"/>
    <col min="5899" max="5899" width="10.7109375" style="8" bestFit="1" customWidth="1"/>
    <col min="5900" max="6145" width="8.7109375" style="8"/>
    <col min="6146" max="6146" width="2.28515625" style="8" customWidth="1"/>
    <col min="6147" max="6147" width="16.5703125" style="8" customWidth="1"/>
    <col min="6148" max="6148" width="16" style="8" customWidth="1"/>
    <col min="6149" max="6149" width="14" style="8" customWidth="1"/>
    <col min="6150" max="6150" width="16" style="8" customWidth="1"/>
    <col min="6151" max="6151" width="15.85546875" style="8" customWidth="1"/>
    <col min="6152" max="6152" width="19" style="8" customWidth="1"/>
    <col min="6153" max="6154" width="8.7109375" style="8"/>
    <col min="6155" max="6155" width="10.7109375" style="8" bestFit="1" customWidth="1"/>
    <col min="6156" max="6401" width="8.7109375" style="8"/>
    <col min="6402" max="6402" width="2.28515625" style="8" customWidth="1"/>
    <col min="6403" max="6403" width="16.5703125" style="8" customWidth="1"/>
    <col min="6404" max="6404" width="16" style="8" customWidth="1"/>
    <col min="6405" max="6405" width="14" style="8" customWidth="1"/>
    <col min="6406" max="6406" width="16" style="8" customWidth="1"/>
    <col min="6407" max="6407" width="15.85546875" style="8" customWidth="1"/>
    <col min="6408" max="6408" width="19" style="8" customWidth="1"/>
    <col min="6409" max="6410" width="8.7109375" style="8"/>
    <col min="6411" max="6411" width="10.7109375" style="8" bestFit="1" customWidth="1"/>
    <col min="6412" max="6657" width="8.7109375" style="8"/>
    <col min="6658" max="6658" width="2.28515625" style="8" customWidth="1"/>
    <col min="6659" max="6659" width="16.5703125" style="8" customWidth="1"/>
    <col min="6660" max="6660" width="16" style="8" customWidth="1"/>
    <col min="6661" max="6661" width="14" style="8" customWidth="1"/>
    <col min="6662" max="6662" width="16" style="8" customWidth="1"/>
    <col min="6663" max="6663" width="15.85546875" style="8" customWidth="1"/>
    <col min="6664" max="6664" width="19" style="8" customWidth="1"/>
    <col min="6665" max="6666" width="8.7109375" style="8"/>
    <col min="6667" max="6667" width="10.7109375" style="8" bestFit="1" customWidth="1"/>
    <col min="6668" max="6913" width="8.7109375" style="8"/>
    <col min="6914" max="6914" width="2.28515625" style="8" customWidth="1"/>
    <col min="6915" max="6915" width="16.5703125" style="8" customWidth="1"/>
    <col min="6916" max="6916" width="16" style="8" customWidth="1"/>
    <col min="6917" max="6917" width="14" style="8" customWidth="1"/>
    <col min="6918" max="6918" width="16" style="8" customWidth="1"/>
    <col min="6919" max="6919" width="15.85546875" style="8" customWidth="1"/>
    <col min="6920" max="6920" width="19" style="8" customWidth="1"/>
    <col min="6921" max="6922" width="8.7109375" style="8"/>
    <col min="6923" max="6923" width="10.7109375" style="8" bestFit="1" customWidth="1"/>
    <col min="6924" max="7169" width="8.7109375" style="8"/>
    <col min="7170" max="7170" width="2.28515625" style="8" customWidth="1"/>
    <col min="7171" max="7171" width="16.5703125" style="8" customWidth="1"/>
    <col min="7172" max="7172" width="16" style="8" customWidth="1"/>
    <col min="7173" max="7173" width="14" style="8" customWidth="1"/>
    <col min="7174" max="7174" width="16" style="8" customWidth="1"/>
    <col min="7175" max="7175" width="15.85546875" style="8" customWidth="1"/>
    <col min="7176" max="7176" width="19" style="8" customWidth="1"/>
    <col min="7177" max="7178" width="8.7109375" style="8"/>
    <col min="7179" max="7179" width="10.7109375" style="8" bestFit="1" customWidth="1"/>
    <col min="7180" max="7425" width="8.7109375" style="8"/>
    <col min="7426" max="7426" width="2.28515625" style="8" customWidth="1"/>
    <col min="7427" max="7427" width="16.5703125" style="8" customWidth="1"/>
    <col min="7428" max="7428" width="16" style="8" customWidth="1"/>
    <col min="7429" max="7429" width="14" style="8" customWidth="1"/>
    <col min="7430" max="7430" width="16" style="8" customWidth="1"/>
    <col min="7431" max="7431" width="15.85546875" style="8" customWidth="1"/>
    <col min="7432" max="7432" width="19" style="8" customWidth="1"/>
    <col min="7433" max="7434" width="8.7109375" style="8"/>
    <col min="7435" max="7435" width="10.7109375" style="8" bestFit="1" customWidth="1"/>
    <col min="7436" max="7681" width="8.7109375" style="8"/>
    <col min="7682" max="7682" width="2.28515625" style="8" customWidth="1"/>
    <col min="7683" max="7683" width="16.5703125" style="8" customWidth="1"/>
    <col min="7684" max="7684" width="16" style="8" customWidth="1"/>
    <col min="7685" max="7685" width="14" style="8" customWidth="1"/>
    <col min="7686" max="7686" width="16" style="8" customWidth="1"/>
    <col min="7687" max="7687" width="15.85546875" style="8" customWidth="1"/>
    <col min="7688" max="7688" width="19" style="8" customWidth="1"/>
    <col min="7689" max="7690" width="8.7109375" style="8"/>
    <col min="7691" max="7691" width="10.7109375" style="8" bestFit="1" customWidth="1"/>
    <col min="7692" max="7937" width="8.7109375" style="8"/>
    <col min="7938" max="7938" width="2.28515625" style="8" customWidth="1"/>
    <col min="7939" max="7939" width="16.5703125" style="8" customWidth="1"/>
    <col min="7940" max="7940" width="16" style="8" customWidth="1"/>
    <col min="7941" max="7941" width="14" style="8" customWidth="1"/>
    <col min="7942" max="7942" width="16" style="8" customWidth="1"/>
    <col min="7943" max="7943" width="15.85546875" style="8" customWidth="1"/>
    <col min="7944" max="7944" width="19" style="8" customWidth="1"/>
    <col min="7945" max="7946" width="8.7109375" style="8"/>
    <col min="7947" max="7947" width="10.7109375" style="8" bestFit="1" customWidth="1"/>
    <col min="7948" max="8193" width="8.7109375" style="8"/>
    <col min="8194" max="8194" width="2.28515625" style="8" customWidth="1"/>
    <col min="8195" max="8195" width="16.5703125" style="8" customWidth="1"/>
    <col min="8196" max="8196" width="16" style="8" customWidth="1"/>
    <col min="8197" max="8197" width="14" style="8" customWidth="1"/>
    <col min="8198" max="8198" width="16" style="8" customWidth="1"/>
    <col min="8199" max="8199" width="15.85546875" style="8" customWidth="1"/>
    <col min="8200" max="8200" width="19" style="8" customWidth="1"/>
    <col min="8201" max="8202" width="8.7109375" style="8"/>
    <col min="8203" max="8203" width="10.7109375" style="8" bestFit="1" customWidth="1"/>
    <col min="8204" max="8449" width="8.7109375" style="8"/>
    <col min="8450" max="8450" width="2.28515625" style="8" customWidth="1"/>
    <col min="8451" max="8451" width="16.5703125" style="8" customWidth="1"/>
    <col min="8452" max="8452" width="16" style="8" customWidth="1"/>
    <col min="8453" max="8453" width="14" style="8" customWidth="1"/>
    <col min="8454" max="8454" width="16" style="8" customWidth="1"/>
    <col min="8455" max="8455" width="15.85546875" style="8" customWidth="1"/>
    <col min="8456" max="8456" width="19" style="8" customWidth="1"/>
    <col min="8457" max="8458" width="8.7109375" style="8"/>
    <col min="8459" max="8459" width="10.7109375" style="8" bestFit="1" customWidth="1"/>
    <col min="8460" max="8705" width="8.7109375" style="8"/>
    <col min="8706" max="8706" width="2.28515625" style="8" customWidth="1"/>
    <col min="8707" max="8707" width="16.5703125" style="8" customWidth="1"/>
    <col min="8708" max="8708" width="16" style="8" customWidth="1"/>
    <col min="8709" max="8709" width="14" style="8" customWidth="1"/>
    <col min="8710" max="8710" width="16" style="8" customWidth="1"/>
    <col min="8711" max="8711" width="15.85546875" style="8" customWidth="1"/>
    <col min="8712" max="8712" width="19" style="8" customWidth="1"/>
    <col min="8713" max="8714" width="8.7109375" style="8"/>
    <col min="8715" max="8715" width="10.7109375" style="8" bestFit="1" customWidth="1"/>
    <col min="8716" max="8961" width="8.7109375" style="8"/>
    <col min="8962" max="8962" width="2.28515625" style="8" customWidth="1"/>
    <col min="8963" max="8963" width="16.5703125" style="8" customWidth="1"/>
    <col min="8964" max="8964" width="16" style="8" customWidth="1"/>
    <col min="8965" max="8965" width="14" style="8" customWidth="1"/>
    <col min="8966" max="8966" width="16" style="8" customWidth="1"/>
    <col min="8967" max="8967" width="15.85546875" style="8" customWidth="1"/>
    <col min="8968" max="8968" width="19" style="8" customWidth="1"/>
    <col min="8969" max="8970" width="8.7109375" style="8"/>
    <col min="8971" max="8971" width="10.7109375" style="8" bestFit="1" customWidth="1"/>
    <col min="8972" max="9217" width="8.7109375" style="8"/>
    <col min="9218" max="9218" width="2.28515625" style="8" customWidth="1"/>
    <col min="9219" max="9219" width="16.5703125" style="8" customWidth="1"/>
    <col min="9220" max="9220" width="16" style="8" customWidth="1"/>
    <col min="9221" max="9221" width="14" style="8" customWidth="1"/>
    <col min="9222" max="9222" width="16" style="8" customWidth="1"/>
    <col min="9223" max="9223" width="15.85546875" style="8" customWidth="1"/>
    <col min="9224" max="9224" width="19" style="8" customWidth="1"/>
    <col min="9225" max="9226" width="8.7109375" style="8"/>
    <col min="9227" max="9227" width="10.7109375" style="8" bestFit="1" customWidth="1"/>
    <col min="9228" max="9473" width="8.7109375" style="8"/>
    <col min="9474" max="9474" width="2.28515625" style="8" customWidth="1"/>
    <col min="9475" max="9475" width="16.5703125" style="8" customWidth="1"/>
    <col min="9476" max="9476" width="16" style="8" customWidth="1"/>
    <col min="9477" max="9477" width="14" style="8" customWidth="1"/>
    <col min="9478" max="9478" width="16" style="8" customWidth="1"/>
    <col min="9479" max="9479" width="15.85546875" style="8" customWidth="1"/>
    <col min="9480" max="9480" width="19" style="8" customWidth="1"/>
    <col min="9481" max="9482" width="8.7109375" style="8"/>
    <col min="9483" max="9483" width="10.7109375" style="8" bestFit="1" customWidth="1"/>
    <col min="9484" max="9729" width="8.7109375" style="8"/>
    <col min="9730" max="9730" width="2.28515625" style="8" customWidth="1"/>
    <col min="9731" max="9731" width="16.5703125" style="8" customWidth="1"/>
    <col min="9732" max="9732" width="16" style="8" customWidth="1"/>
    <col min="9733" max="9733" width="14" style="8" customWidth="1"/>
    <col min="9734" max="9734" width="16" style="8" customWidth="1"/>
    <col min="9735" max="9735" width="15.85546875" style="8" customWidth="1"/>
    <col min="9736" max="9736" width="19" style="8" customWidth="1"/>
    <col min="9737" max="9738" width="8.7109375" style="8"/>
    <col min="9739" max="9739" width="10.7109375" style="8" bestFit="1" customWidth="1"/>
    <col min="9740" max="9985" width="8.7109375" style="8"/>
    <col min="9986" max="9986" width="2.28515625" style="8" customWidth="1"/>
    <col min="9987" max="9987" width="16.5703125" style="8" customWidth="1"/>
    <col min="9988" max="9988" width="16" style="8" customWidth="1"/>
    <col min="9989" max="9989" width="14" style="8" customWidth="1"/>
    <col min="9990" max="9990" width="16" style="8" customWidth="1"/>
    <col min="9991" max="9991" width="15.85546875" style="8" customWidth="1"/>
    <col min="9992" max="9992" width="19" style="8" customWidth="1"/>
    <col min="9993" max="9994" width="8.7109375" style="8"/>
    <col min="9995" max="9995" width="10.7109375" style="8" bestFit="1" customWidth="1"/>
    <col min="9996" max="10241" width="8.7109375" style="8"/>
    <col min="10242" max="10242" width="2.28515625" style="8" customWidth="1"/>
    <col min="10243" max="10243" width="16.5703125" style="8" customWidth="1"/>
    <col min="10244" max="10244" width="16" style="8" customWidth="1"/>
    <col min="10245" max="10245" width="14" style="8" customWidth="1"/>
    <col min="10246" max="10246" width="16" style="8" customWidth="1"/>
    <col min="10247" max="10247" width="15.85546875" style="8" customWidth="1"/>
    <col min="10248" max="10248" width="19" style="8" customWidth="1"/>
    <col min="10249" max="10250" width="8.7109375" style="8"/>
    <col min="10251" max="10251" width="10.7109375" style="8" bestFit="1" customWidth="1"/>
    <col min="10252" max="10497" width="8.7109375" style="8"/>
    <col min="10498" max="10498" width="2.28515625" style="8" customWidth="1"/>
    <col min="10499" max="10499" width="16.5703125" style="8" customWidth="1"/>
    <col min="10500" max="10500" width="16" style="8" customWidth="1"/>
    <col min="10501" max="10501" width="14" style="8" customWidth="1"/>
    <col min="10502" max="10502" width="16" style="8" customWidth="1"/>
    <col min="10503" max="10503" width="15.85546875" style="8" customWidth="1"/>
    <col min="10504" max="10504" width="19" style="8" customWidth="1"/>
    <col min="10505" max="10506" width="8.7109375" style="8"/>
    <col min="10507" max="10507" width="10.7109375" style="8" bestFit="1" customWidth="1"/>
    <col min="10508" max="10753" width="8.7109375" style="8"/>
    <col min="10754" max="10754" width="2.28515625" style="8" customWidth="1"/>
    <col min="10755" max="10755" width="16.5703125" style="8" customWidth="1"/>
    <col min="10756" max="10756" width="16" style="8" customWidth="1"/>
    <col min="10757" max="10757" width="14" style="8" customWidth="1"/>
    <col min="10758" max="10758" width="16" style="8" customWidth="1"/>
    <col min="10759" max="10759" width="15.85546875" style="8" customWidth="1"/>
    <col min="10760" max="10760" width="19" style="8" customWidth="1"/>
    <col min="10761" max="10762" width="8.7109375" style="8"/>
    <col min="10763" max="10763" width="10.7109375" style="8" bestFit="1" customWidth="1"/>
    <col min="10764" max="11009" width="8.7109375" style="8"/>
    <col min="11010" max="11010" width="2.28515625" style="8" customWidth="1"/>
    <col min="11011" max="11011" width="16.5703125" style="8" customWidth="1"/>
    <col min="11012" max="11012" width="16" style="8" customWidth="1"/>
    <col min="11013" max="11013" width="14" style="8" customWidth="1"/>
    <col min="11014" max="11014" width="16" style="8" customWidth="1"/>
    <col min="11015" max="11015" width="15.85546875" style="8" customWidth="1"/>
    <col min="11016" max="11016" width="19" style="8" customWidth="1"/>
    <col min="11017" max="11018" width="8.7109375" style="8"/>
    <col min="11019" max="11019" width="10.7109375" style="8" bestFit="1" customWidth="1"/>
    <col min="11020" max="11265" width="8.7109375" style="8"/>
    <col min="11266" max="11266" width="2.28515625" style="8" customWidth="1"/>
    <col min="11267" max="11267" width="16.5703125" style="8" customWidth="1"/>
    <col min="11268" max="11268" width="16" style="8" customWidth="1"/>
    <col min="11269" max="11269" width="14" style="8" customWidth="1"/>
    <col min="11270" max="11270" width="16" style="8" customWidth="1"/>
    <col min="11271" max="11271" width="15.85546875" style="8" customWidth="1"/>
    <col min="11272" max="11272" width="19" style="8" customWidth="1"/>
    <col min="11273" max="11274" width="8.7109375" style="8"/>
    <col min="11275" max="11275" width="10.7109375" style="8" bestFit="1" customWidth="1"/>
    <col min="11276" max="11521" width="8.7109375" style="8"/>
    <col min="11522" max="11522" width="2.28515625" style="8" customWidth="1"/>
    <col min="11523" max="11523" width="16.5703125" style="8" customWidth="1"/>
    <col min="11524" max="11524" width="16" style="8" customWidth="1"/>
    <col min="11525" max="11525" width="14" style="8" customWidth="1"/>
    <col min="11526" max="11526" width="16" style="8" customWidth="1"/>
    <col min="11527" max="11527" width="15.85546875" style="8" customWidth="1"/>
    <col min="11528" max="11528" width="19" style="8" customWidth="1"/>
    <col min="11529" max="11530" width="8.7109375" style="8"/>
    <col min="11531" max="11531" width="10.7109375" style="8" bestFit="1" customWidth="1"/>
    <col min="11532" max="11777" width="8.7109375" style="8"/>
    <col min="11778" max="11778" width="2.28515625" style="8" customWidth="1"/>
    <col min="11779" max="11779" width="16.5703125" style="8" customWidth="1"/>
    <col min="11780" max="11780" width="16" style="8" customWidth="1"/>
    <col min="11781" max="11781" width="14" style="8" customWidth="1"/>
    <col min="11782" max="11782" width="16" style="8" customWidth="1"/>
    <col min="11783" max="11783" width="15.85546875" style="8" customWidth="1"/>
    <col min="11784" max="11784" width="19" style="8" customWidth="1"/>
    <col min="11785" max="11786" width="8.7109375" style="8"/>
    <col min="11787" max="11787" width="10.7109375" style="8" bestFit="1" customWidth="1"/>
    <col min="11788" max="12033" width="8.7109375" style="8"/>
    <col min="12034" max="12034" width="2.28515625" style="8" customWidth="1"/>
    <col min="12035" max="12035" width="16.5703125" style="8" customWidth="1"/>
    <col min="12036" max="12036" width="16" style="8" customWidth="1"/>
    <col min="12037" max="12037" width="14" style="8" customWidth="1"/>
    <col min="12038" max="12038" width="16" style="8" customWidth="1"/>
    <col min="12039" max="12039" width="15.85546875" style="8" customWidth="1"/>
    <col min="12040" max="12040" width="19" style="8" customWidth="1"/>
    <col min="12041" max="12042" width="8.7109375" style="8"/>
    <col min="12043" max="12043" width="10.7109375" style="8" bestFit="1" customWidth="1"/>
    <col min="12044" max="12289" width="8.7109375" style="8"/>
    <col min="12290" max="12290" width="2.28515625" style="8" customWidth="1"/>
    <col min="12291" max="12291" width="16.5703125" style="8" customWidth="1"/>
    <col min="12292" max="12292" width="16" style="8" customWidth="1"/>
    <col min="12293" max="12293" width="14" style="8" customWidth="1"/>
    <col min="12294" max="12294" width="16" style="8" customWidth="1"/>
    <col min="12295" max="12295" width="15.85546875" style="8" customWidth="1"/>
    <col min="12296" max="12296" width="19" style="8" customWidth="1"/>
    <col min="12297" max="12298" width="8.7109375" style="8"/>
    <col min="12299" max="12299" width="10.7109375" style="8" bestFit="1" customWidth="1"/>
    <col min="12300" max="12545" width="8.7109375" style="8"/>
    <col min="12546" max="12546" width="2.28515625" style="8" customWidth="1"/>
    <col min="12547" max="12547" width="16.5703125" style="8" customWidth="1"/>
    <col min="12548" max="12548" width="16" style="8" customWidth="1"/>
    <col min="12549" max="12549" width="14" style="8" customWidth="1"/>
    <col min="12550" max="12550" width="16" style="8" customWidth="1"/>
    <col min="12551" max="12551" width="15.85546875" style="8" customWidth="1"/>
    <col min="12552" max="12552" width="19" style="8" customWidth="1"/>
    <col min="12553" max="12554" width="8.7109375" style="8"/>
    <col min="12555" max="12555" width="10.7109375" style="8" bestFit="1" customWidth="1"/>
    <col min="12556" max="12801" width="8.7109375" style="8"/>
    <col min="12802" max="12802" width="2.28515625" style="8" customWidth="1"/>
    <col min="12803" max="12803" width="16.5703125" style="8" customWidth="1"/>
    <col min="12804" max="12804" width="16" style="8" customWidth="1"/>
    <col min="12805" max="12805" width="14" style="8" customWidth="1"/>
    <col min="12806" max="12806" width="16" style="8" customWidth="1"/>
    <col min="12807" max="12807" width="15.85546875" style="8" customWidth="1"/>
    <col min="12808" max="12808" width="19" style="8" customWidth="1"/>
    <col min="12809" max="12810" width="8.7109375" style="8"/>
    <col min="12811" max="12811" width="10.7109375" style="8" bestFit="1" customWidth="1"/>
    <col min="12812" max="13057" width="8.7109375" style="8"/>
    <col min="13058" max="13058" width="2.28515625" style="8" customWidth="1"/>
    <col min="13059" max="13059" width="16.5703125" style="8" customWidth="1"/>
    <col min="13060" max="13060" width="16" style="8" customWidth="1"/>
    <col min="13061" max="13061" width="14" style="8" customWidth="1"/>
    <col min="13062" max="13062" width="16" style="8" customWidth="1"/>
    <col min="13063" max="13063" width="15.85546875" style="8" customWidth="1"/>
    <col min="13064" max="13064" width="19" style="8" customWidth="1"/>
    <col min="13065" max="13066" width="8.7109375" style="8"/>
    <col min="13067" max="13067" width="10.7109375" style="8" bestFit="1" customWidth="1"/>
    <col min="13068" max="13313" width="8.7109375" style="8"/>
    <col min="13314" max="13314" width="2.28515625" style="8" customWidth="1"/>
    <col min="13315" max="13315" width="16.5703125" style="8" customWidth="1"/>
    <col min="13316" max="13316" width="16" style="8" customWidth="1"/>
    <col min="13317" max="13317" width="14" style="8" customWidth="1"/>
    <col min="13318" max="13318" width="16" style="8" customWidth="1"/>
    <col min="13319" max="13319" width="15.85546875" style="8" customWidth="1"/>
    <col min="13320" max="13320" width="19" style="8" customWidth="1"/>
    <col min="13321" max="13322" width="8.7109375" style="8"/>
    <col min="13323" max="13323" width="10.7109375" style="8" bestFit="1" customWidth="1"/>
    <col min="13324" max="13569" width="8.7109375" style="8"/>
    <col min="13570" max="13570" width="2.28515625" style="8" customWidth="1"/>
    <col min="13571" max="13571" width="16.5703125" style="8" customWidth="1"/>
    <col min="13572" max="13572" width="16" style="8" customWidth="1"/>
    <col min="13573" max="13573" width="14" style="8" customWidth="1"/>
    <col min="13574" max="13574" width="16" style="8" customWidth="1"/>
    <col min="13575" max="13575" width="15.85546875" style="8" customWidth="1"/>
    <col min="13576" max="13576" width="19" style="8" customWidth="1"/>
    <col min="13577" max="13578" width="8.7109375" style="8"/>
    <col min="13579" max="13579" width="10.7109375" style="8" bestFit="1" customWidth="1"/>
    <col min="13580" max="13825" width="8.7109375" style="8"/>
    <col min="13826" max="13826" width="2.28515625" style="8" customWidth="1"/>
    <col min="13827" max="13827" width="16.5703125" style="8" customWidth="1"/>
    <col min="13828" max="13828" width="16" style="8" customWidth="1"/>
    <col min="13829" max="13829" width="14" style="8" customWidth="1"/>
    <col min="13830" max="13830" width="16" style="8" customWidth="1"/>
    <col min="13831" max="13831" width="15.85546875" style="8" customWidth="1"/>
    <col min="13832" max="13832" width="19" style="8" customWidth="1"/>
    <col min="13833" max="13834" width="8.7109375" style="8"/>
    <col min="13835" max="13835" width="10.7109375" style="8" bestFit="1" customWidth="1"/>
    <col min="13836" max="14081" width="8.7109375" style="8"/>
    <col min="14082" max="14082" width="2.28515625" style="8" customWidth="1"/>
    <col min="14083" max="14083" width="16.5703125" style="8" customWidth="1"/>
    <col min="14084" max="14084" width="16" style="8" customWidth="1"/>
    <col min="14085" max="14085" width="14" style="8" customWidth="1"/>
    <col min="14086" max="14086" width="16" style="8" customWidth="1"/>
    <col min="14087" max="14087" width="15.85546875" style="8" customWidth="1"/>
    <col min="14088" max="14088" width="19" style="8" customWidth="1"/>
    <col min="14089" max="14090" width="8.7109375" style="8"/>
    <col min="14091" max="14091" width="10.7109375" style="8" bestFit="1" customWidth="1"/>
    <col min="14092" max="14337" width="8.7109375" style="8"/>
    <col min="14338" max="14338" width="2.28515625" style="8" customWidth="1"/>
    <col min="14339" max="14339" width="16.5703125" style="8" customWidth="1"/>
    <col min="14340" max="14340" width="16" style="8" customWidth="1"/>
    <col min="14341" max="14341" width="14" style="8" customWidth="1"/>
    <col min="14342" max="14342" width="16" style="8" customWidth="1"/>
    <col min="14343" max="14343" width="15.85546875" style="8" customWidth="1"/>
    <col min="14344" max="14344" width="19" style="8" customWidth="1"/>
    <col min="14345" max="14346" width="8.7109375" style="8"/>
    <col min="14347" max="14347" width="10.7109375" style="8" bestFit="1" customWidth="1"/>
    <col min="14348" max="14593" width="8.7109375" style="8"/>
    <col min="14594" max="14594" width="2.28515625" style="8" customWidth="1"/>
    <col min="14595" max="14595" width="16.5703125" style="8" customWidth="1"/>
    <col min="14596" max="14596" width="16" style="8" customWidth="1"/>
    <col min="14597" max="14597" width="14" style="8" customWidth="1"/>
    <col min="14598" max="14598" width="16" style="8" customWidth="1"/>
    <col min="14599" max="14599" width="15.85546875" style="8" customWidth="1"/>
    <col min="14600" max="14600" width="19" style="8" customWidth="1"/>
    <col min="14601" max="14602" width="8.7109375" style="8"/>
    <col min="14603" max="14603" width="10.7109375" style="8" bestFit="1" customWidth="1"/>
    <col min="14604" max="14849" width="8.7109375" style="8"/>
    <col min="14850" max="14850" width="2.28515625" style="8" customWidth="1"/>
    <col min="14851" max="14851" width="16.5703125" style="8" customWidth="1"/>
    <col min="14852" max="14852" width="16" style="8" customWidth="1"/>
    <col min="14853" max="14853" width="14" style="8" customWidth="1"/>
    <col min="14854" max="14854" width="16" style="8" customWidth="1"/>
    <col min="14855" max="14855" width="15.85546875" style="8" customWidth="1"/>
    <col min="14856" max="14856" width="19" style="8" customWidth="1"/>
    <col min="14857" max="14858" width="8.7109375" style="8"/>
    <col min="14859" max="14859" width="10.7109375" style="8" bestFit="1" customWidth="1"/>
    <col min="14860" max="15105" width="8.7109375" style="8"/>
    <col min="15106" max="15106" width="2.28515625" style="8" customWidth="1"/>
    <col min="15107" max="15107" width="16.5703125" style="8" customWidth="1"/>
    <col min="15108" max="15108" width="16" style="8" customWidth="1"/>
    <col min="15109" max="15109" width="14" style="8" customWidth="1"/>
    <col min="15110" max="15110" width="16" style="8" customWidth="1"/>
    <col min="15111" max="15111" width="15.85546875" style="8" customWidth="1"/>
    <col min="15112" max="15112" width="19" style="8" customWidth="1"/>
    <col min="15113" max="15114" width="8.7109375" style="8"/>
    <col min="15115" max="15115" width="10.7109375" style="8" bestFit="1" customWidth="1"/>
    <col min="15116" max="15361" width="8.7109375" style="8"/>
    <col min="15362" max="15362" width="2.28515625" style="8" customWidth="1"/>
    <col min="15363" max="15363" width="16.5703125" style="8" customWidth="1"/>
    <col min="15364" max="15364" width="16" style="8" customWidth="1"/>
    <col min="15365" max="15365" width="14" style="8" customWidth="1"/>
    <col min="15366" max="15366" width="16" style="8" customWidth="1"/>
    <col min="15367" max="15367" width="15.85546875" style="8" customWidth="1"/>
    <col min="15368" max="15368" width="19" style="8" customWidth="1"/>
    <col min="15369" max="15370" width="8.7109375" style="8"/>
    <col min="15371" max="15371" width="10.7109375" style="8" bestFit="1" customWidth="1"/>
    <col min="15372" max="15617" width="8.7109375" style="8"/>
    <col min="15618" max="15618" width="2.28515625" style="8" customWidth="1"/>
    <col min="15619" max="15619" width="16.5703125" style="8" customWidth="1"/>
    <col min="15620" max="15620" width="16" style="8" customWidth="1"/>
    <col min="15621" max="15621" width="14" style="8" customWidth="1"/>
    <col min="15622" max="15622" width="16" style="8" customWidth="1"/>
    <col min="15623" max="15623" width="15.85546875" style="8" customWidth="1"/>
    <col min="15624" max="15624" width="19" style="8" customWidth="1"/>
    <col min="15625" max="15626" width="8.7109375" style="8"/>
    <col min="15627" max="15627" width="10.7109375" style="8" bestFit="1" customWidth="1"/>
    <col min="15628" max="15873" width="8.7109375" style="8"/>
    <col min="15874" max="15874" width="2.28515625" style="8" customWidth="1"/>
    <col min="15875" max="15875" width="16.5703125" style="8" customWidth="1"/>
    <col min="15876" max="15876" width="16" style="8" customWidth="1"/>
    <col min="15877" max="15877" width="14" style="8" customWidth="1"/>
    <col min="15878" max="15878" width="16" style="8" customWidth="1"/>
    <col min="15879" max="15879" width="15.85546875" style="8" customWidth="1"/>
    <col min="15880" max="15880" width="19" style="8" customWidth="1"/>
    <col min="15881" max="15882" width="8.7109375" style="8"/>
    <col min="15883" max="15883" width="10.7109375" style="8" bestFit="1" customWidth="1"/>
    <col min="15884" max="16129" width="8.7109375" style="8"/>
    <col min="16130" max="16130" width="2.28515625" style="8" customWidth="1"/>
    <col min="16131" max="16131" width="16.5703125" style="8" customWidth="1"/>
    <col min="16132" max="16132" width="16" style="8" customWidth="1"/>
    <col min="16133" max="16133" width="14" style="8" customWidth="1"/>
    <col min="16134" max="16134" width="16" style="8" customWidth="1"/>
    <col min="16135" max="16135" width="15.85546875" style="8" customWidth="1"/>
    <col min="16136" max="16136" width="19" style="8" customWidth="1"/>
    <col min="16137" max="16138" width="8.7109375" style="8"/>
    <col min="16139" max="16139" width="10.7109375" style="8" bestFit="1" customWidth="1"/>
    <col min="16140" max="16384" width="8.7109375" style="8"/>
  </cols>
  <sheetData>
    <row r="1" spans="1:8" ht="18.75" x14ac:dyDescent="0.3">
      <c r="A1" s="1" t="s">
        <v>0</v>
      </c>
      <c r="B1" s="2"/>
      <c r="C1" s="3" t="s">
        <v>1</v>
      </c>
      <c r="D1" s="4" t="s">
        <v>2</v>
      </c>
      <c r="E1" s="5"/>
      <c r="F1" s="5"/>
      <c r="G1" s="6" t="s">
        <v>3</v>
      </c>
      <c r="H1" s="7" t="s">
        <v>4</v>
      </c>
    </row>
    <row r="2" spans="1:8" ht="18.75" x14ac:dyDescent="0.3">
      <c r="A2" s="9" t="s">
        <v>5</v>
      </c>
      <c r="B2" s="10"/>
      <c r="C2" s="11"/>
      <c r="D2" s="12" t="s">
        <v>6</v>
      </c>
      <c r="E2" s="13" t="s">
        <v>7</v>
      </c>
      <c r="F2" s="14">
        <v>1</v>
      </c>
      <c r="G2" s="15" t="s">
        <v>8</v>
      </c>
      <c r="H2" s="16">
        <f>+F2*43560</f>
        <v>43560</v>
      </c>
    </row>
    <row r="3" spans="1:8" ht="18.75" x14ac:dyDescent="0.3">
      <c r="A3" s="9" t="s">
        <v>9</v>
      </c>
      <c r="B3" s="10"/>
      <c r="C3" s="17"/>
      <c r="D3" s="11" t="s">
        <v>10</v>
      </c>
      <c r="E3" s="13"/>
      <c r="F3" s="14"/>
      <c r="G3" s="18" t="s">
        <v>11</v>
      </c>
      <c r="H3" s="19">
        <v>2</v>
      </c>
    </row>
    <row r="4" spans="1:8" ht="19.5" thickBot="1" x14ac:dyDescent="0.35">
      <c r="A4" s="20" t="s">
        <v>12</v>
      </c>
      <c r="B4" s="21"/>
      <c r="C4" s="22"/>
      <c r="D4" s="11" t="s">
        <v>13</v>
      </c>
      <c r="E4" s="23"/>
      <c r="F4" s="23"/>
      <c r="G4" s="24" t="s">
        <v>14</v>
      </c>
      <c r="H4" s="25">
        <f>+H2*H3</f>
        <v>87120</v>
      </c>
    </row>
    <row r="5" spans="1:8" ht="18.75" x14ac:dyDescent="0.3">
      <c r="A5" s="26"/>
      <c r="B5" s="17"/>
      <c r="C5" s="22"/>
      <c r="D5" s="11" t="s">
        <v>15</v>
      </c>
      <c r="E5" s="23"/>
      <c r="F5" s="23"/>
      <c r="G5" s="27">
        <f>ROUND(+E20/D27,-1)</f>
        <v>950</v>
      </c>
      <c r="H5" s="28">
        <f>+H4/G5</f>
        <v>91.705263157894734</v>
      </c>
    </row>
    <row r="6" spans="1:8" ht="18.75" x14ac:dyDescent="0.3">
      <c r="A6" s="26"/>
      <c r="B6" s="17"/>
      <c r="C6" s="22"/>
      <c r="D6" s="11" t="s">
        <v>16</v>
      </c>
      <c r="E6" s="23"/>
      <c r="F6" s="23"/>
      <c r="G6" s="29"/>
      <c r="H6" s="30">
        <v>0.75</v>
      </c>
    </row>
    <row r="7" spans="1:8" ht="18.75" x14ac:dyDescent="0.3">
      <c r="A7" s="26"/>
      <c r="B7" s="17"/>
      <c r="C7" s="31" t="s">
        <v>17</v>
      </c>
      <c r="D7" s="31" t="s">
        <v>18</v>
      </c>
      <c r="E7" s="32"/>
      <c r="F7" s="32"/>
      <c r="G7" s="31"/>
      <c r="H7" s="33">
        <v>0.13</v>
      </c>
    </row>
    <row r="8" spans="1:8" ht="18.75" x14ac:dyDescent="0.3">
      <c r="A8" s="26"/>
      <c r="B8" s="17"/>
      <c r="C8" s="34"/>
      <c r="D8" s="31" t="s">
        <v>19</v>
      </c>
      <c r="E8" s="32"/>
      <c r="F8" s="32"/>
      <c r="G8" s="31"/>
      <c r="H8" s="35">
        <f>+H5*H7</f>
        <v>11.921684210526315</v>
      </c>
    </row>
    <row r="9" spans="1:8" ht="18.75" x14ac:dyDescent="0.3">
      <c r="A9" s="26"/>
      <c r="B9" s="17"/>
      <c r="C9" s="34"/>
      <c r="D9" s="31" t="s">
        <v>12</v>
      </c>
      <c r="E9" s="32"/>
      <c r="F9" s="32"/>
      <c r="G9" s="31"/>
      <c r="H9" s="36">
        <v>1</v>
      </c>
    </row>
    <row r="10" spans="1:8" ht="18.75" x14ac:dyDescent="0.3">
      <c r="A10" s="26"/>
      <c r="B10" s="17"/>
      <c r="C10" s="34"/>
      <c r="D10" s="31" t="s">
        <v>20</v>
      </c>
      <c r="E10" s="32"/>
      <c r="F10" s="32"/>
      <c r="G10" s="31"/>
      <c r="H10" s="33">
        <f>+D21/D20</f>
        <v>0.14942528735632182</v>
      </c>
    </row>
    <row r="11" spans="1:8" ht="18.75" x14ac:dyDescent="0.3">
      <c r="A11" s="26"/>
      <c r="B11" s="17"/>
      <c r="C11" s="22"/>
      <c r="D11" s="31" t="s">
        <v>21</v>
      </c>
      <c r="E11" s="32"/>
      <c r="F11" s="32"/>
      <c r="G11" s="31"/>
      <c r="H11" s="37">
        <v>0</v>
      </c>
    </row>
    <row r="12" spans="1:8" ht="18.75" x14ac:dyDescent="0.3">
      <c r="A12" s="26"/>
      <c r="B12" s="17"/>
      <c r="C12" s="22"/>
      <c r="D12" s="31" t="s">
        <v>22</v>
      </c>
      <c r="E12" s="32"/>
      <c r="F12" s="32"/>
      <c r="G12" s="31"/>
      <c r="H12" s="37">
        <v>0</v>
      </c>
    </row>
    <row r="13" spans="1:8" ht="18.75" x14ac:dyDescent="0.3">
      <c r="A13" s="26"/>
      <c r="B13" s="17"/>
      <c r="C13" s="22"/>
      <c r="D13" s="31" t="s">
        <v>23</v>
      </c>
      <c r="E13" s="32"/>
      <c r="F13" s="32"/>
      <c r="G13" s="31"/>
      <c r="H13" s="36">
        <v>0.7</v>
      </c>
    </row>
    <row r="14" spans="1:8" ht="18.75" x14ac:dyDescent="0.3">
      <c r="A14" s="26"/>
      <c r="B14" s="17"/>
      <c r="C14" s="17"/>
      <c r="D14" s="22"/>
      <c r="E14" s="22"/>
      <c r="F14" s="17"/>
      <c r="G14" s="22"/>
      <c r="H14" s="38"/>
    </row>
    <row r="15" spans="1:8" ht="18.75" x14ac:dyDescent="0.3">
      <c r="A15" s="26"/>
      <c r="B15" s="17"/>
      <c r="C15" s="39" t="s">
        <v>24</v>
      </c>
      <c r="D15" s="39" t="s">
        <v>25</v>
      </c>
      <c r="E15" s="40"/>
      <c r="F15" s="41">
        <v>0.06</v>
      </c>
      <c r="G15" s="42" t="s">
        <v>26</v>
      </c>
      <c r="H15" s="43">
        <f>+F66</f>
        <v>5.9514895193199274E-2</v>
      </c>
    </row>
    <row r="16" spans="1:8" ht="18.75" x14ac:dyDescent="0.3">
      <c r="A16" s="26"/>
      <c r="B16" s="17"/>
      <c r="C16" s="22"/>
      <c r="D16" s="39" t="s">
        <v>27</v>
      </c>
      <c r="E16" s="40"/>
      <c r="F16" s="44">
        <v>3.5</v>
      </c>
      <c r="G16" s="39" t="s">
        <v>28</v>
      </c>
      <c r="H16" s="45"/>
    </row>
    <row r="17" spans="1:8" ht="19.5" thickBot="1" x14ac:dyDescent="0.35">
      <c r="A17" s="26"/>
      <c r="B17" s="17"/>
      <c r="C17" s="17"/>
      <c r="D17" s="22"/>
      <c r="E17" s="34"/>
      <c r="F17" s="46"/>
      <c r="G17" s="34"/>
      <c r="H17" s="47"/>
    </row>
    <row r="18" spans="1:8" ht="18.75" x14ac:dyDescent="0.3">
      <c r="A18" s="48" t="s">
        <v>29</v>
      </c>
      <c r="B18" s="49"/>
      <c r="C18" s="49"/>
      <c r="D18" s="49"/>
      <c r="E18" s="49"/>
      <c r="F18" s="49"/>
      <c r="G18" s="49"/>
      <c r="H18" s="50"/>
    </row>
    <row r="19" spans="1:8" ht="30" x14ac:dyDescent="0.25">
      <c r="A19" s="51" t="s">
        <v>30</v>
      </c>
      <c r="B19" s="52"/>
      <c r="C19" s="52"/>
      <c r="D19" s="53" t="s">
        <v>31</v>
      </c>
      <c r="E19" s="53" t="s">
        <v>32</v>
      </c>
      <c r="F19" s="53" t="s">
        <v>33</v>
      </c>
      <c r="G19" s="53" t="s">
        <v>34</v>
      </c>
      <c r="H19" s="54" t="s">
        <v>35</v>
      </c>
    </row>
    <row r="20" spans="1:8" x14ac:dyDescent="0.2">
      <c r="A20" s="26"/>
      <c r="B20" s="46" t="s">
        <v>36</v>
      </c>
      <c r="C20" s="46" t="s">
        <v>37</v>
      </c>
      <c r="D20" s="55">
        <f>+H5-D21-D22</f>
        <v>79.783578947368426</v>
      </c>
      <c r="E20" s="56">
        <v>810</v>
      </c>
      <c r="F20" s="57">
        <f>+G20*E20</f>
        <v>2835</v>
      </c>
      <c r="G20" s="58">
        <f>+F16</f>
        <v>3.5</v>
      </c>
      <c r="H20" s="59">
        <f>+D20*F20*12</f>
        <v>2714237.3557894737</v>
      </c>
    </row>
    <row r="21" spans="1:8" x14ac:dyDescent="0.2">
      <c r="A21" s="26"/>
      <c r="B21" s="60" t="s">
        <v>38</v>
      </c>
      <c r="C21" s="46" t="s">
        <v>39</v>
      </c>
      <c r="D21" s="55">
        <f>+H5*0.13</f>
        <v>11.921684210526315</v>
      </c>
      <c r="E21" s="56">
        <f>+E20</f>
        <v>810</v>
      </c>
      <c r="F21" s="57">
        <v>1098.26</v>
      </c>
      <c r="G21" s="58">
        <f>IF(H21=0,0,+H21/(E21*D21)/12)</f>
        <v>1.3558765432098763</v>
      </c>
      <c r="H21" s="59">
        <f>+F21*D21*12</f>
        <v>157117.30681263155</v>
      </c>
    </row>
    <row r="22" spans="1:8" x14ac:dyDescent="0.2">
      <c r="A22" s="26"/>
      <c r="B22" s="60" t="s">
        <v>40</v>
      </c>
      <c r="C22" s="46" t="s">
        <v>41</v>
      </c>
      <c r="D22" s="55">
        <f>+H5*(H7-0.13)</f>
        <v>0</v>
      </c>
      <c r="E22" s="56">
        <f>+E21</f>
        <v>810</v>
      </c>
      <c r="F22" s="57">
        <v>1726.6840740740743</v>
      </c>
      <c r="G22" s="58">
        <f>IF(H22=0,0,+H22/(E22*D22)/12)</f>
        <v>0</v>
      </c>
      <c r="H22" s="59">
        <f>+F22*D22*12</f>
        <v>0</v>
      </c>
    </row>
    <row r="23" spans="1:8" x14ac:dyDescent="0.2">
      <c r="A23" s="26"/>
      <c r="B23" s="46" t="s">
        <v>42</v>
      </c>
      <c r="C23" s="46" t="s">
        <v>43</v>
      </c>
      <c r="D23" s="56">
        <v>1</v>
      </c>
      <c r="E23" s="56">
        <v>5000</v>
      </c>
      <c r="F23" s="58">
        <f>+G23/12</f>
        <v>3.3333333333333335</v>
      </c>
      <c r="G23" s="58">
        <v>40</v>
      </c>
      <c r="H23" s="59">
        <f>+G23*E23*D23</f>
        <v>200000</v>
      </c>
    </row>
    <row r="24" spans="1:8" x14ac:dyDescent="0.2">
      <c r="A24" s="26"/>
      <c r="B24" s="46"/>
      <c r="C24" s="46" t="s">
        <v>44</v>
      </c>
      <c r="D24" s="56">
        <v>0</v>
      </c>
      <c r="E24" s="56">
        <v>5000</v>
      </c>
      <c r="F24" s="58">
        <f>+G24/12</f>
        <v>0</v>
      </c>
      <c r="G24" s="58">
        <v>0</v>
      </c>
      <c r="H24" s="59">
        <f>+G24*E24*D24</f>
        <v>0</v>
      </c>
    </row>
    <row r="25" spans="1:8" x14ac:dyDescent="0.2">
      <c r="A25" s="26"/>
      <c r="B25" s="61" t="s">
        <v>45</v>
      </c>
      <c r="C25" s="61"/>
      <c r="D25" s="62">
        <f>+H5*H6</f>
        <v>68.778947368421058</v>
      </c>
      <c r="E25" s="63"/>
      <c r="F25" s="63"/>
      <c r="G25" s="63">
        <v>250</v>
      </c>
      <c r="H25" s="64">
        <f>+D25*G25*12</f>
        <v>206336.84210526315</v>
      </c>
    </row>
    <row r="26" spans="1:8" x14ac:dyDescent="0.2">
      <c r="A26" s="26"/>
      <c r="B26" s="46" t="s">
        <v>46</v>
      </c>
      <c r="C26" s="46"/>
      <c r="D26" s="55">
        <f>+H5</f>
        <v>91.705263157894734</v>
      </c>
      <c r="E26" s="56">
        <f>(E20*D20)+(E21*D21)</f>
        <v>74281.263157894733</v>
      </c>
      <c r="F26" s="58"/>
      <c r="G26" s="57"/>
      <c r="H26" s="59">
        <f>SUM(H20:H25)</f>
        <v>3277691.5047073681</v>
      </c>
    </row>
    <row r="27" spans="1:8" x14ac:dyDescent="0.2">
      <c r="A27" s="26"/>
      <c r="B27" s="46" t="s">
        <v>47</v>
      </c>
      <c r="C27" s="46"/>
      <c r="D27" s="65">
        <v>0.85</v>
      </c>
      <c r="E27" s="56">
        <f>+H4</f>
        <v>87120</v>
      </c>
      <c r="F27" s="57"/>
      <c r="G27" s="57"/>
      <c r="H27" s="59"/>
    </row>
    <row r="28" spans="1:8" x14ac:dyDescent="0.2">
      <c r="A28" s="26"/>
      <c r="B28" s="46" t="s">
        <v>48</v>
      </c>
      <c r="C28" s="46"/>
      <c r="D28" s="65">
        <v>1</v>
      </c>
      <c r="E28" s="56">
        <f>(E23*D23)+(D24*E24)</f>
        <v>5000</v>
      </c>
      <c r="F28" s="57"/>
      <c r="G28" s="57"/>
      <c r="H28" s="59"/>
    </row>
    <row r="29" spans="1:8" x14ac:dyDescent="0.2">
      <c r="A29" s="26"/>
      <c r="B29" s="46"/>
      <c r="C29" s="46"/>
      <c r="D29" s="56"/>
      <c r="E29" s="57"/>
      <c r="F29" s="57"/>
      <c r="G29" s="57"/>
      <c r="H29" s="59"/>
    </row>
    <row r="30" spans="1:8" ht="18.75" x14ac:dyDescent="0.3">
      <c r="A30" s="66" t="s">
        <v>49</v>
      </c>
      <c r="B30" s="46"/>
      <c r="C30" s="46" t="str">
        <f>+C20</f>
        <v>Market Rate</v>
      </c>
      <c r="D30" s="56"/>
      <c r="E30" s="57"/>
      <c r="F30" s="57"/>
      <c r="G30" s="67">
        <v>0.05</v>
      </c>
      <c r="H30" s="59">
        <f>-G30*H20</f>
        <v>-135711.8677894737</v>
      </c>
    </row>
    <row r="31" spans="1:8" ht="12.75" customHeight="1" x14ac:dyDescent="0.3">
      <c r="A31" s="66"/>
      <c r="B31" s="46"/>
      <c r="C31" s="46" t="str">
        <f>+C21</f>
        <v>Low Income</v>
      </c>
      <c r="D31" s="56"/>
      <c r="E31" s="57"/>
      <c r="F31" s="57"/>
      <c r="G31" s="67">
        <v>0</v>
      </c>
      <c r="H31" s="59">
        <f>-G31*H21</f>
        <v>0</v>
      </c>
    </row>
    <row r="32" spans="1:8" ht="12.75" customHeight="1" x14ac:dyDescent="0.3">
      <c r="A32" s="66"/>
      <c r="B32" s="46"/>
      <c r="C32" s="46" t="str">
        <f>+C23</f>
        <v>Market Rate Retail</v>
      </c>
      <c r="D32" s="56"/>
      <c r="E32" s="57"/>
      <c r="F32" s="57"/>
      <c r="G32" s="67">
        <v>0.1</v>
      </c>
      <c r="H32" s="59">
        <f>-G32*H23</f>
        <v>-20000</v>
      </c>
    </row>
    <row r="33" spans="1:11" x14ac:dyDescent="0.2">
      <c r="A33" s="26"/>
      <c r="B33" s="61"/>
      <c r="C33" s="61" t="str">
        <f>+C24</f>
        <v>Affordable Innovation</v>
      </c>
      <c r="D33" s="62"/>
      <c r="E33" s="63"/>
      <c r="F33" s="63"/>
      <c r="G33" s="68">
        <v>0.2</v>
      </c>
      <c r="H33" s="64">
        <f>-G33*H24</f>
        <v>0</v>
      </c>
    </row>
    <row r="34" spans="1:11" x14ac:dyDescent="0.2">
      <c r="A34" s="26"/>
      <c r="B34" s="46" t="s">
        <v>50</v>
      </c>
      <c r="C34" s="46"/>
      <c r="D34" s="56"/>
      <c r="E34" s="57"/>
      <c r="F34" s="57"/>
      <c r="G34" s="67"/>
      <c r="H34" s="59">
        <f>SUM(H30:H33)</f>
        <v>-155711.8677894737</v>
      </c>
    </row>
    <row r="35" spans="1:11" x14ac:dyDescent="0.2">
      <c r="A35" s="26"/>
      <c r="B35" s="46"/>
      <c r="C35" s="46"/>
      <c r="D35" s="56"/>
      <c r="E35" s="57"/>
      <c r="F35" s="57"/>
      <c r="G35" s="57"/>
      <c r="H35" s="59"/>
    </row>
    <row r="36" spans="1:11" ht="18.75" x14ac:dyDescent="0.3">
      <c r="A36" s="66" t="s">
        <v>51</v>
      </c>
      <c r="B36" s="46"/>
      <c r="C36" s="46"/>
      <c r="D36" s="56"/>
      <c r="E36" s="57"/>
      <c r="F36" s="57"/>
      <c r="G36" s="57"/>
      <c r="H36" s="59">
        <f>+H26+H34</f>
        <v>3121979.6369178942</v>
      </c>
    </row>
    <row r="37" spans="1:11" x14ac:dyDescent="0.2">
      <c r="A37" s="26"/>
      <c r="B37" s="46"/>
      <c r="C37" s="46"/>
      <c r="D37" s="56"/>
      <c r="E37" s="57"/>
      <c r="F37" s="57"/>
      <c r="G37" s="57"/>
      <c r="H37" s="59"/>
    </row>
    <row r="38" spans="1:11" ht="18.75" x14ac:dyDescent="0.3">
      <c r="A38" s="66" t="s">
        <v>52</v>
      </c>
      <c r="B38" s="46"/>
      <c r="C38" s="46"/>
      <c r="D38" s="46"/>
      <c r="E38" s="46"/>
      <c r="F38" s="46"/>
      <c r="G38" s="46"/>
      <c r="H38" s="59"/>
    </row>
    <row r="39" spans="1:11" x14ac:dyDescent="0.2">
      <c r="A39" s="26"/>
      <c r="B39" s="46" t="s">
        <v>53</v>
      </c>
      <c r="C39" s="46" t="s">
        <v>54</v>
      </c>
      <c r="D39" s="46"/>
      <c r="E39" s="46"/>
      <c r="F39" s="57">
        <v>7500</v>
      </c>
      <c r="G39" s="57" t="s">
        <v>55</v>
      </c>
      <c r="H39" s="59">
        <f>-F39*D$26</f>
        <v>-687789.47368421056</v>
      </c>
    </row>
    <row r="40" spans="1:11" x14ac:dyDescent="0.2">
      <c r="A40" s="26"/>
      <c r="B40" s="46"/>
      <c r="C40" s="46" t="s">
        <v>56</v>
      </c>
      <c r="D40" s="65">
        <v>7.0000000000000007E-2</v>
      </c>
      <c r="E40" s="46" t="s">
        <v>57</v>
      </c>
      <c r="F40" s="57">
        <f>ROUND(-H40/D26,-2)</f>
        <v>2300</v>
      </c>
      <c r="G40" s="57" t="s">
        <v>55</v>
      </c>
      <c r="H40" s="59">
        <f>(H20+H21+H25)*-D40</f>
        <v>-215438.40532951578</v>
      </c>
    </row>
    <row r="41" spans="1:11" x14ac:dyDescent="0.2">
      <c r="A41" s="26"/>
      <c r="B41" s="46"/>
      <c r="C41" s="46" t="s">
        <v>58</v>
      </c>
      <c r="D41" s="67">
        <v>2.5000000000000001E-2</v>
      </c>
      <c r="E41" s="46" t="s">
        <v>59</v>
      </c>
      <c r="F41" s="57">
        <f>-H41/D26</f>
        <v>797.066283</v>
      </c>
      <c r="G41" s="57" t="s">
        <v>55</v>
      </c>
      <c r="H41" s="59">
        <f>-D41*((H20+H21+H25)*(1-G30))</f>
        <v>-73095.173236799994</v>
      </c>
    </row>
    <row r="42" spans="1:11" x14ac:dyDescent="0.2">
      <c r="A42" s="26"/>
      <c r="B42" s="46"/>
      <c r="C42" s="46" t="s">
        <v>60</v>
      </c>
      <c r="D42" s="46"/>
      <c r="E42" s="46"/>
      <c r="F42" s="57">
        <v>250</v>
      </c>
      <c r="G42" s="57" t="s">
        <v>55</v>
      </c>
      <c r="H42" s="59">
        <f>-F42*D$26</f>
        <v>-22926.315789473683</v>
      </c>
    </row>
    <row r="43" spans="1:11" x14ac:dyDescent="0.2">
      <c r="A43" s="26"/>
      <c r="B43" s="61" t="s">
        <v>42</v>
      </c>
      <c r="C43" s="69" t="s">
        <v>61</v>
      </c>
      <c r="D43" s="61"/>
      <c r="E43" s="61"/>
      <c r="F43" s="70">
        <v>0.02</v>
      </c>
      <c r="G43" s="61" t="s">
        <v>62</v>
      </c>
      <c r="H43" s="64">
        <f>-F43*(H23+H24)</f>
        <v>-4000</v>
      </c>
    </row>
    <row r="44" spans="1:11" x14ac:dyDescent="0.2">
      <c r="A44" s="26"/>
      <c r="B44" s="46" t="s">
        <v>63</v>
      </c>
      <c r="C44" s="46"/>
      <c r="D44" s="65">
        <f>-H44/H36</f>
        <v>0.32135038812438765</v>
      </c>
      <c r="E44" s="57" t="s">
        <v>64</v>
      </c>
      <c r="F44" s="57">
        <f>-H44/D26</f>
        <v>10939.932273163455</v>
      </c>
      <c r="G44" s="57" t="s">
        <v>55</v>
      </c>
      <c r="H44" s="59">
        <f>SUM(H39:H43)</f>
        <v>-1003249.3680400001</v>
      </c>
    </row>
    <row r="45" spans="1:11" ht="13.5" thickBot="1" x14ac:dyDescent="0.25">
      <c r="A45" s="26"/>
      <c r="B45" s="46"/>
      <c r="C45" s="46"/>
      <c r="D45" s="46"/>
      <c r="E45" s="17"/>
      <c r="F45" s="46"/>
      <c r="G45" s="46"/>
      <c r="H45" s="59"/>
    </row>
    <row r="46" spans="1:11" ht="18.75" x14ac:dyDescent="0.3">
      <c r="A46" s="66" t="s">
        <v>65</v>
      </c>
      <c r="B46" s="46"/>
      <c r="C46" s="46"/>
      <c r="D46" s="65">
        <f>+H46/H36</f>
        <v>0.67864961187561235</v>
      </c>
      <c r="E46" s="57" t="s">
        <v>64</v>
      </c>
      <c r="F46" s="57">
        <f>+H46/D26</f>
        <v>23103.693244191913</v>
      </c>
      <c r="G46" s="57" t="s">
        <v>55</v>
      </c>
      <c r="H46" s="59">
        <f>+H36+H44</f>
        <v>2118730.2688778942</v>
      </c>
      <c r="J46" s="71">
        <f>+H46/1.25</f>
        <v>1694984.2151023154</v>
      </c>
      <c r="K46" s="72" t="s">
        <v>66</v>
      </c>
    </row>
    <row r="47" spans="1:11" x14ac:dyDescent="0.2">
      <c r="A47" s="26"/>
      <c r="B47" s="46"/>
      <c r="C47" s="46"/>
      <c r="D47" s="46"/>
      <c r="E47" s="46"/>
      <c r="F47" s="46"/>
      <c r="G47" s="46"/>
      <c r="H47" s="59"/>
      <c r="J47" s="73">
        <f>-J46/(PMT(0.04/12,30*12,1)*12)</f>
        <v>29586124.687133916</v>
      </c>
      <c r="K47" s="74" t="s">
        <v>67</v>
      </c>
    </row>
    <row r="48" spans="1:11" ht="18.75" x14ac:dyDescent="0.3">
      <c r="A48" s="66" t="s">
        <v>68</v>
      </c>
      <c r="B48" s="46"/>
      <c r="C48" s="46"/>
      <c r="D48" s="46"/>
      <c r="E48" s="46"/>
      <c r="F48" s="46"/>
      <c r="G48" s="46"/>
      <c r="H48" s="59"/>
      <c r="J48" s="75">
        <f>+H62-J47</f>
        <v>6013875.3128660843</v>
      </c>
      <c r="K48" s="74" t="s">
        <v>69</v>
      </c>
    </row>
    <row r="49" spans="1:11" x14ac:dyDescent="0.2">
      <c r="A49" s="26"/>
      <c r="B49" s="46" t="s">
        <v>70</v>
      </c>
      <c r="C49" s="46"/>
      <c r="D49" s="46"/>
      <c r="E49" s="76" t="s">
        <v>71</v>
      </c>
      <c r="F49" s="77">
        <v>0.05</v>
      </c>
      <c r="G49" s="46" t="s">
        <v>72</v>
      </c>
      <c r="H49" s="59">
        <f>+H46/F49</f>
        <v>42374605.377557881</v>
      </c>
      <c r="J49" s="75">
        <f>+H46-J46</f>
        <v>423746.05377557874</v>
      </c>
      <c r="K49" s="74" t="s">
        <v>73</v>
      </c>
    </row>
    <row r="50" spans="1:11" ht="13.5" thickBot="1" x14ac:dyDescent="0.25">
      <c r="A50" s="26"/>
      <c r="B50" s="46"/>
      <c r="C50" s="46"/>
      <c r="D50" s="46"/>
      <c r="E50" s="46"/>
      <c r="F50" s="46"/>
      <c r="G50" s="76" t="s">
        <v>74</v>
      </c>
      <c r="H50" s="59">
        <f>ROUND(H49,-5)</f>
        <v>42400000</v>
      </c>
      <c r="J50" s="78">
        <f>+J49/J48</f>
        <v>7.0461396642031549E-2</v>
      </c>
      <c r="K50" s="79" t="s">
        <v>75</v>
      </c>
    </row>
    <row r="51" spans="1:11" x14ac:dyDescent="0.2">
      <c r="A51" s="26"/>
      <c r="B51" s="46"/>
      <c r="C51" s="46"/>
      <c r="D51" s="46"/>
      <c r="E51" s="46"/>
      <c r="F51" s="46"/>
      <c r="G51" s="76" t="s">
        <v>76</v>
      </c>
      <c r="H51" s="59">
        <f>+H50/E27</f>
        <v>486.68503213957757</v>
      </c>
    </row>
    <row r="52" spans="1:11" x14ac:dyDescent="0.2">
      <c r="A52" s="26"/>
      <c r="B52" s="46"/>
      <c r="C52" s="46"/>
      <c r="D52" s="46"/>
      <c r="E52" s="46"/>
      <c r="F52" s="46"/>
      <c r="G52" s="76" t="s">
        <v>55</v>
      </c>
      <c r="H52" s="59">
        <f>+H50/D26</f>
        <v>462350.78053259873</v>
      </c>
      <c r="J52" s="8">
        <v>646091.59779614327</v>
      </c>
      <c r="K52" s="80">
        <f>+J52-H52</f>
        <v>183740.81726354454</v>
      </c>
    </row>
    <row r="53" spans="1:11" x14ac:dyDescent="0.2">
      <c r="A53" s="81"/>
      <c r="B53" s="61"/>
      <c r="C53" s="61"/>
      <c r="D53" s="61"/>
      <c r="E53" s="61"/>
      <c r="F53" s="61"/>
      <c r="G53" s="82"/>
      <c r="H53" s="64"/>
    </row>
    <row r="54" spans="1:11" x14ac:dyDescent="0.2">
      <c r="A54" s="26"/>
      <c r="B54" s="46"/>
      <c r="C54" s="46"/>
      <c r="D54" s="46"/>
      <c r="E54" s="46"/>
      <c r="F54" s="77"/>
      <c r="G54" s="46"/>
      <c r="H54" s="59"/>
    </row>
    <row r="55" spans="1:11" ht="18.75" x14ac:dyDescent="0.3">
      <c r="A55" s="66" t="s">
        <v>77</v>
      </c>
      <c r="B55" s="46"/>
      <c r="C55" s="46"/>
      <c r="D55" s="46"/>
      <c r="E55" s="46"/>
      <c r="F55" s="46"/>
      <c r="G55" s="46"/>
      <c r="H55" s="59"/>
    </row>
    <row r="56" spans="1:11" ht="18.75" x14ac:dyDescent="0.3">
      <c r="A56" s="66"/>
      <c r="B56" s="46" t="s">
        <v>78</v>
      </c>
      <c r="C56" s="46"/>
      <c r="D56" s="57">
        <f>+H56/D26</f>
        <v>23750</v>
      </c>
      <c r="E56" s="46" t="s">
        <v>55</v>
      </c>
      <c r="F56" s="58">
        <v>25</v>
      </c>
      <c r="G56" s="46" t="s">
        <v>79</v>
      </c>
      <c r="H56" s="59">
        <f>+F56*H4</f>
        <v>2178000</v>
      </c>
    </row>
    <row r="57" spans="1:11" ht="12.75" customHeight="1" x14ac:dyDescent="0.3">
      <c r="A57" s="66"/>
      <c r="B57" s="46" t="s">
        <v>80</v>
      </c>
      <c r="C57" s="46"/>
      <c r="D57" s="57">
        <f>IF(+H11=0,H12,H11)</f>
        <v>0</v>
      </c>
      <c r="E57" s="46" t="s">
        <v>55</v>
      </c>
      <c r="F57" s="56">
        <f>+H8</f>
        <v>11.921684210526315</v>
      </c>
      <c r="G57" s="46" t="s">
        <v>31</v>
      </c>
      <c r="H57" s="59">
        <f>+F57*D57</f>
        <v>0</v>
      </c>
    </row>
    <row r="58" spans="1:11" x14ac:dyDescent="0.2">
      <c r="A58" s="26"/>
      <c r="B58" s="46" t="s">
        <v>53</v>
      </c>
      <c r="C58" s="46"/>
      <c r="D58" s="46"/>
      <c r="E58" s="46"/>
      <c r="F58" s="58">
        <v>280</v>
      </c>
      <c r="G58" s="46" t="s">
        <v>81</v>
      </c>
      <c r="H58" s="59">
        <f>+F58*E27</f>
        <v>24393600</v>
      </c>
    </row>
    <row r="59" spans="1:11" x14ac:dyDescent="0.2">
      <c r="A59" s="26"/>
      <c r="B59" s="46" t="s">
        <v>42</v>
      </c>
      <c r="C59" s="46"/>
      <c r="D59" s="46"/>
      <c r="E59" s="46"/>
      <c r="F59" s="58">
        <v>280</v>
      </c>
      <c r="G59" s="46" t="s">
        <v>81</v>
      </c>
      <c r="H59" s="59">
        <f>F59*(E28)</f>
        <v>1400000</v>
      </c>
    </row>
    <row r="60" spans="1:11" x14ac:dyDescent="0.2">
      <c r="A60" s="26"/>
      <c r="B60" s="46" t="s">
        <v>82</v>
      </c>
      <c r="C60" s="46" t="s">
        <v>83</v>
      </c>
      <c r="D60" s="56">
        <f>+D25</f>
        <v>68.778947368421058</v>
      </c>
      <c r="E60" s="17" t="s">
        <v>84</v>
      </c>
      <c r="F60" s="57">
        <v>35000</v>
      </c>
      <c r="G60" s="46" t="s">
        <v>85</v>
      </c>
      <c r="H60" s="59">
        <f>+F60*D25</f>
        <v>2407263.1578947371</v>
      </c>
    </row>
    <row r="61" spans="1:11" x14ac:dyDescent="0.2">
      <c r="A61" s="26"/>
      <c r="B61" s="61" t="s">
        <v>86</v>
      </c>
      <c r="C61" s="61"/>
      <c r="D61" s="61"/>
      <c r="E61" s="61"/>
      <c r="F61" s="70">
        <v>0.2</v>
      </c>
      <c r="G61" s="61" t="s">
        <v>87</v>
      </c>
      <c r="H61" s="64">
        <f>ROUND((H58+H59)*F61,-5)</f>
        <v>5200000</v>
      </c>
    </row>
    <row r="62" spans="1:11" x14ac:dyDescent="0.2">
      <c r="A62" s="26"/>
      <c r="B62" s="46"/>
      <c r="C62" s="46"/>
      <c r="D62" s="46"/>
      <c r="E62" s="46"/>
      <c r="F62" s="46"/>
      <c r="G62" s="76" t="s">
        <v>74</v>
      </c>
      <c r="H62" s="59">
        <f>ROUND(SUM(H56:H61),-5)</f>
        <v>35600000</v>
      </c>
    </row>
    <row r="63" spans="1:11" x14ac:dyDescent="0.2">
      <c r="A63" s="26"/>
      <c r="B63" s="46"/>
      <c r="C63" s="46"/>
      <c r="D63" s="46"/>
      <c r="E63" s="46"/>
      <c r="F63" s="46"/>
      <c r="G63" s="76" t="s">
        <v>76</v>
      </c>
      <c r="H63" s="59">
        <f>+H62/(E27+E28)</f>
        <v>386.45245332175421</v>
      </c>
    </row>
    <row r="64" spans="1:11" x14ac:dyDescent="0.2">
      <c r="A64" s="26"/>
      <c r="B64" s="46"/>
      <c r="C64" s="46"/>
      <c r="D64" s="46"/>
      <c r="E64" s="46"/>
      <c r="F64" s="46"/>
      <c r="G64" s="76" t="s">
        <v>55</v>
      </c>
      <c r="H64" s="59">
        <f>+H62/H5</f>
        <v>388200.1836547291</v>
      </c>
      <c r="J64" s="8">
        <v>486340.6795224977</v>
      </c>
    </row>
    <row r="65" spans="1:8" x14ac:dyDescent="0.2">
      <c r="A65" s="26"/>
      <c r="B65" s="46"/>
      <c r="C65" s="46"/>
      <c r="D65" s="46"/>
      <c r="E65" s="46"/>
      <c r="F65" s="46"/>
      <c r="G65" s="46"/>
      <c r="H65" s="59"/>
    </row>
    <row r="66" spans="1:8" ht="18.75" x14ac:dyDescent="0.3">
      <c r="A66" s="83" t="s">
        <v>88</v>
      </c>
      <c r="B66" s="46"/>
      <c r="C66" s="46"/>
      <c r="D66" s="46"/>
      <c r="E66" s="76" t="s">
        <v>89</v>
      </c>
      <c r="F66" s="67">
        <f>+H46/H62</f>
        <v>5.9514895193199274E-2</v>
      </c>
      <c r="G66" s="76" t="s">
        <v>90</v>
      </c>
      <c r="H66" s="59">
        <f>+H50-H62</f>
        <v>6800000</v>
      </c>
    </row>
    <row r="67" spans="1:8" ht="13.5" thickBot="1" x14ac:dyDescent="0.25">
      <c r="A67" s="84"/>
      <c r="B67" s="85"/>
      <c r="C67" s="85"/>
      <c r="D67" s="86"/>
      <c r="E67" s="86"/>
      <c r="F67" s="86"/>
      <c r="G67" s="85"/>
      <c r="H67" s="87"/>
    </row>
    <row r="68" spans="1:8" x14ac:dyDescent="0.2">
      <c r="A68" s="26"/>
      <c r="B68" s="17"/>
      <c r="C68" s="17"/>
      <c r="D68" s="17"/>
      <c r="E68" s="17"/>
      <c r="F68" s="17"/>
      <c r="G68" s="17"/>
      <c r="H68" s="17"/>
    </row>
  </sheetData>
  <pageMargins left="0.7" right="0.7" top="0.75" bottom="0.75" header="0.3" footer="0.3"/>
  <pageSetup scale="68" orientation="portrait" horizontalDpi="1200" verticalDpi="1200" r:id="rId1"/>
  <headerFooter>
    <oddFooter>&amp;L&amp;A&amp;C&amp;F&amp;R&amp;P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workbookViewId="0">
      <selection activeCell="D15" sqref="D15"/>
    </sheetView>
  </sheetViews>
  <sheetFormatPr defaultRowHeight="15" x14ac:dyDescent="0.25"/>
  <cols>
    <col min="1" max="1" width="25.28515625" customWidth="1"/>
    <col min="3" max="3" width="11.7109375" customWidth="1"/>
    <col min="9" max="9" width="11.28515625" customWidth="1"/>
    <col min="10" max="10" width="12.140625" customWidth="1"/>
    <col min="11" max="11" width="11" customWidth="1"/>
    <col min="12" max="12" width="10.140625" customWidth="1"/>
    <col min="13" max="13" width="12.7109375" customWidth="1"/>
  </cols>
  <sheetData>
    <row r="1" spans="1:14" x14ac:dyDescent="0.25">
      <c r="A1" s="88" t="s">
        <v>107</v>
      </c>
      <c r="B1" s="89"/>
      <c r="E1" t="s">
        <v>143</v>
      </c>
      <c r="H1" t="s">
        <v>145</v>
      </c>
    </row>
    <row r="2" spans="1:14" ht="60" x14ac:dyDescent="0.25">
      <c r="A2" t="s">
        <v>108</v>
      </c>
      <c r="B2" s="89" t="s">
        <v>109</v>
      </c>
      <c r="E2" t="s">
        <v>110</v>
      </c>
      <c r="F2" t="s">
        <v>144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</row>
    <row r="3" spans="1:14" x14ac:dyDescent="0.25">
      <c r="B3" s="89"/>
      <c r="E3" s="90">
        <v>0.5</v>
      </c>
      <c r="F3" s="93">
        <f t="shared" ref="F3:F10" si="0">((I$14*I3)+(J$14*J3)+(K$14*K3)+(L$14*L3))/B$13</f>
        <v>109.60846801730025</v>
      </c>
      <c r="H3" s="90">
        <v>0.5</v>
      </c>
      <c r="I3" s="92">
        <v>64900</v>
      </c>
      <c r="J3" s="92">
        <v>86200</v>
      </c>
      <c r="K3" s="92">
        <v>107600</v>
      </c>
      <c r="L3" s="92">
        <v>128900</v>
      </c>
      <c r="M3" s="93">
        <f t="shared" ref="M3:M11" si="1">+AVERAGE(I3:L3)</f>
        <v>96900</v>
      </c>
      <c r="N3" s="92">
        <f t="shared" ref="N3:N11" si="2">+M3/B$13</f>
        <v>110.28909628955155</v>
      </c>
    </row>
    <row r="4" spans="1:14" x14ac:dyDescent="0.25">
      <c r="A4" s="88" t="s">
        <v>117</v>
      </c>
      <c r="B4" s="89"/>
      <c r="E4" s="90">
        <v>0.6</v>
      </c>
      <c r="F4" s="93">
        <f t="shared" si="0"/>
        <v>146.06601411336217</v>
      </c>
      <c r="H4" s="90">
        <v>0.6</v>
      </c>
      <c r="I4" s="92">
        <v>90600</v>
      </c>
      <c r="J4" s="92">
        <v>116300</v>
      </c>
      <c r="K4" s="92">
        <v>141800</v>
      </c>
      <c r="L4" s="92">
        <v>167500</v>
      </c>
      <c r="M4" s="93">
        <f t="shared" si="1"/>
        <v>129050</v>
      </c>
      <c r="N4" s="92">
        <f t="shared" si="2"/>
        <v>146.88140223082175</v>
      </c>
    </row>
    <row r="5" spans="1:14" x14ac:dyDescent="0.25">
      <c r="A5" t="s">
        <v>146</v>
      </c>
      <c r="B5" s="94">
        <f>+E8</f>
        <v>1</v>
      </c>
      <c r="E5" s="90">
        <v>0.7</v>
      </c>
      <c r="F5" s="93">
        <f t="shared" si="0"/>
        <v>181.9103118597769</v>
      </c>
      <c r="H5" s="90">
        <v>0.7</v>
      </c>
      <c r="I5" s="92">
        <v>116300</v>
      </c>
      <c r="J5" s="92">
        <v>146100</v>
      </c>
      <c r="K5" s="92">
        <v>175900</v>
      </c>
      <c r="L5" s="92">
        <v>202500</v>
      </c>
      <c r="M5" s="93">
        <f t="shared" si="1"/>
        <v>160200</v>
      </c>
      <c r="N5" s="92">
        <f t="shared" si="2"/>
        <v>182.33553380377873</v>
      </c>
    </row>
    <row r="6" spans="1:14" x14ac:dyDescent="0.25">
      <c r="A6" t="s">
        <v>147</v>
      </c>
      <c r="B6" s="101">
        <v>6.5000000000000002E-2</v>
      </c>
      <c r="E6" s="90">
        <v>0.8</v>
      </c>
      <c r="F6" s="93">
        <f t="shared" si="0"/>
        <v>215.8688823127703</v>
      </c>
      <c r="H6" s="90">
        <v>0.8</v>
      </c>
      <c r="I6" s="92">
        <v>141800</v>
      </c>
      <c r="J6" s="92">
        <v>175900</v>
      </c>
      <c r="K6" s="92">
        <v>206100</v>
      </c>
      <c r="L6" s="92">
        <v>236000</v>
      </c>
      <c r="M6" s="93">
        <f t="shared" si="1"/>
        <v>189950</v>
      </c>
      <c r="N6" s="92">
        <f t="shared" si="2"/>
        <v>216.19622126109721</v>
      </c>
    </row>
    <row r="7" spans="1:14" x14ac:dyDescent="0.25">
      <c r="A7" t="s">
        <v>148</v>
      </c>
      <c r="B7" s="94">
        <f>+E6</f>
        <v>0.8</v>
      </c>
      <c r="E7" s="90">
        <v>0.9</v>
      </c>
      <c r="F7" s="93">
        <f t="shared" si="0"/>
        <v>248.32392442522192</v>
      </c>
      <c r="H7" s="90">
        <v>0.9</v>
      </c>
      <c r="I7" s="92">
        <v>167500</v>
      </c>
      <c r="J7" s="92">
        <v>202500</v>
      </c>
      <c r="K7" s="92">
        <v>236000</v>
      </c>
      <c r="L7" s="92">
        <v>269900</v>
      </c>
      <c r="M7" s="93">
        <f t="shared" si="1"/>
        <v>218975</v>
      </c>
      <c r="N7" s="92">
        <f t="shared" si="2"/>
        <v>249.23173230138858</v>
      </c>
    </row>
    <row r="8" spans="1:14" x14ac:dyDescent="0.25">
      <c r="A8" t="s">
        <v>168</v>
      </c>
      <c r="B8" s="101">
        <v>6.5000000000000002E-2</v>
      </c>
      <c r="E8" s="90">
        <v>1</v>
      </c>
      <c r="F8" s="93">
        <f t="shared" si="0"/>
        <v>280.12451627589343</v>
      </c>
      <c r="H8" s="90">
        <v>1</v>
      </c>
      <c r="I8" s="92">
        <v>191300</v>
      </c>
      <c r="J8" s="92">
        <v>228500</v>
      </c>
      <c r="K8" s="92">
        <v>265800</v>
      </c>
      <c r="L8" s="92">
        <v>303100</v>
      </c>
      <c r="M8" s="93">
        <f t="shared" si="1"/>
        <v>247175</v>
      </c>
      <c r="N8" s="92">
        <f t="shared" si="2"/>
        <v>281.32824948782155</v>
      </c>
    </row>
    <row r="9" spans="1:14" x14ac:dyDescent="0.25">
      <c r="A9" t="s">
        <v>118</v>
      </c>
      <c r="B9" s="94">
        <f>+E6</f>
        <v>0.8</v>
      </c>
      <c r="E9" s="90">
        <v>1.1000000000000001</v>
      </c>
      <c r="F9" s="93">
        <f t="shared" si="0"/>
        <v>311.85886637832914</v>
      </c>
      <c r="H9" s="90">
        <v>1.1000000000000001</v>
      </c>
      <c r="I9" s="92">
        <v>213500</v>
      </c>
      <c r="J9" s="92">
        <v>254600</v>
      </c>
      <c r="K9" s="92">
        <v>295700</v>
      </c>
      <c r="L9" s="92">
        <v>336800</v>
      </c>
      <c r="M9" s="93">
        <f t="shared" si="1"/>
        <v>275150</v>
      </c>
      <c r="N9" s="92">
        <f t="shared" si="2"/>
        <v>313.16867744138403</v>
      </c>
    </row>
    <row r="10" spans="1:14" x14ac:dyDescent="0.25">
      <c r="A10" t="s">
        <v>119</v>
      </c>
      <c r="B10" s="94">
        <v>0.2</v>
      </c>
      <c r="E10" s="90">
        <v>1.2</v>
      </c>
      <c r="F10" s="93">
        <f t="shared" si="0"/>
        <v>343.59959025722742</v>
      </c>
      <c r="H10" s="90">
        <v>1.2</v>
      </c>
      <c r="I10" s="92">
        <v>236000</v>
      </c>
      <c r="J10" s="92">
        <v>280800</v>
      </c>
      <c r="K10" s="92">
        <v>325500</v>
      </c>
      <c r="L10" s="92">
        <v>370200</v>
      </c>
      <c r="M10" s="93">
        <f t="shared" si="1"/>
        <v>303125</v>
      </c>
      <c r="N10" s="92">
        <f t="shared" si="2"/>
        <v>345.00910539494652</v>
      </c>
    </row>
    <row r="11" spans="1:14" x14ac:dyDescent="0.25">
      <c r="A11" t="s">
        <v>120</v>
      </c>
      <c r="B11" s="103">
        <v>1</v>
      </c>
      <c r="E11" t="s">
        <v>125</v>
      </c>
      <c r="F11" s="93">
        <v>500</v>
      </c>
      <c r="I11" s="92">
        <f>+$F11*I13</f>
        <v>250000</v>
      </c>
      <c r="J11" s="92">
        <f t="shared" ref="J11:L11" si="3">+$F11*J13</f>
        <v>375000</v>
      </c>
      <c r="K11" s="92">
        <f t="shared" si="3"/>
        <v>500000</v>
      </c>
      <c r="L11" s="92">
        <f t="shared" si="3"/>
        <v>675000</v>
      </c>
      <c r="M11" s="93">
        <f t="shared" si="1"/>
        <v>450000</v>
      </c>
      <c r="N11" s="92">
        <f t="shared" si="2"/>
        <v>512.17846574095154</v>
      </c>
    </row>
    <row r="12" spans="1:14" x14ac:dyDescent="0.25">
      <c r="A12" t="s">
        <v>121</v>
      </c>
      <c r="B12" s="95">
        <f>+B13/0.85</f>
        <v>1033.6470588235295</v>
      </c>
      <c r="E12" s="96"/>
      <c r="F12" s="91"/>
      <c r="H12" s="96"/>
      <c r="I12" s="92"/>
      <c r="J12" s="92"/>
      <c r="K12" s="92"/>
      <c r="L12" s="92"/>
      <c r="M12" s="92"/>
      <c r="N12" s="92"/>
    </row>
    <row r="13" spans="1:14" x14ac:dyDescent="0.25">
      <c r="A13" t="s">
        <v>122</v>
      </c>
      <c r="B13" s="95">
        <f>+F13</f>
        <v>878.6</v>
      </c>
      <c r="E13" t="s">
        <v>127</v>
      </c>
      <c r="F13" s="97">
        <f>((I$14*I13)+(J$14*J13)+(K$14*K13)+(L$14*L13))</f>
        <v>878.6</v>
      </c>
      <c r="H13" t="s">
        <v>128</v>
      </c>
      <c r="I13" s="97">
        <v>500</v>
      </c>
      <c r="J13" s="97">
        <v>750</v>
      </c>
      <c r="K13" s="97">
        <v>1000</v>
      </c>
      <c r="L13" s="97">
        <v>1350</v>
      </c>
    </row>
    <row r="14" spans="1:14" x14ac:dyDescent="0.25">
      <c r="A14" t="s">
        <v>16</v>
      </c>
      <c r="B14" s="103">
        <v>0.8</v>
      </c>
      <c r="H14" t="s">
        <v>129</v>
      </c>
      <c r="I14" s="90">
        <v>0.11799999999999999</v>
      </c>
      <c r="J14" s="90">
        <v>0.39800000000000002</v>
      </c>
      <c r="K14" s="90">
        <v>0.378</v>
      </c>
      <c r="L14" s="90">
        <v>0.106</v>
      </c>
    </row>
    <row r="15" spans="1:14" ht="45" x14ac:dyDescent="0.25">
      <c r="A15" t="s">
        <v>123</v>
      </c>
      <c r="B15" s="89" t="s">
        <v>124</v>
      </c>
    </row>
    <row r="16" spans="1:14" x14ac:dyDescent="0.25">
      <c r="B16" s="89"/>
    </row>
    <row r="17" spans="1:12" x14ac:dyDescent="0.25">
      <c r="A17" s="88" t="s">
        <v>126</v>
      </c>
      <c r="B17" s="89"/>
    </row>
    <row r="18" spans="1:12" x14ac:dyDescent="0.25">
      <c r="A18" t="s">
        <v>149</v>
      </c>
      <c r="B18" s="99">
        <v>600</v>
      </c>
      <c r="J18" s="98" t="s">
        <v>130</v>
      </c>
      <c r="K18" s="98"/>
    </row>
    <row r="19" spans="1:12" x14ac:dyDescent="0.25">
      <c r="A19" t="s">
        <v>150</v>
      </c>
      <c r="B19" s="99">
        <f>+F8</f>
        <v>280.12451627589343</v>
      </c>
      <c r="J19" s="98"/>
      <c r="K19" s="98"/>
      <c r="L19" s="100"/>
    </row>
    <row r="20" spans="1:12" x14ac:dyDescent="0.25">
      <c r="A20" t="s">
        <v>151</v>
      </c>
      <c r="B20" s="92">
        <f>+F6</f>
        <v>215.8688823127703</v>
      </c>
      <c r="J20" s="98"/>
      <c r="K20" s="98"/>
    </row>
    <row r="21" spans="1:12" x14ac:dyDescent="0.25">
      <c r="A21" t="s">
        <v>152</v>
      </c>
      <c r="B21" s="99">
        <f>+F6</f>
        <v>215.8688823127703</v>
      </c>
      <c r="J21" s="98"/>
    </row>
    <row r="22" spans="1:12" x14ac:dyDescent="0.25">
      <c r="A22" t="s">
        <v>153</v>
      </c>
      <c r="B22" s="99">
        <v>25000</v>
      </c>
      <c r="J22" s="98"/>
    </row>
    <row r="23" spans="1:12" x14ac:dyDescent="0.25">
      <c r="B23" s="89"/>
    </row>
    <row r="24" spans="1:12" x14ac:dyDescent="0.25">
      <c r="A24" s="88" t="s">
        <v>131</v>
      </c>
      <c r="B24" s="89"/>
    </row>
    <row r="25" spans="1:12" x14ac:dyDescent="0.25">
      <c r="A25" t="s">
        <v>132</v>
      </c>
      <c r="B25" s="104">
        <v>300000</v>
      </c>
    </row>
    <row r="26" spans="1:12" x14ac:dyDescent="0.25">
      <c r="A26" t="s">
        <v>133</v>
      </c>
      <c r="B26" s="99">
        <v>90</v>
      </c>
    </row>
    <row r="27" spans="1:12" x14ac:dyDescent="0.25">
      <c r="A27" t="s">
        <v>134</v>
      </c>
      <c r="B27" s="99">
        <v>250</v>
      </c>
    </row>
    <row r="28" spans="1:12" x14ac:dyDescent="0.25">
      <c r="A28" t="s">
        <v>135</v>
      </c>
      <c r="B28" s="99">
        <v>35000</v>
      </c>
    </row>
    <row r="29" spans="1:12" x14ac:dyDescent="0.25">
      <c r="A29" t="s">
        <v>136</v>
      </c>
      <c r="B29" s="101">
        <v>0.2</v>
      </c>
    </row>
    <row r="30" spans="1:12" x14ac:dyDescent="0.25">
      <c r="B30" s="89"/>
    </row>
    <row r="31" spans="1:12" x14ac:dyDescent="0.25">
      <c r="A31" s="88" t="s">
        <v>137</v>
      </c>
      <c r="B31" s="89"/>
    </row>
    <row r="32" spans="1:12" x14ac:dyDescent="0.25">
      <c r="A32" t="s">
        <v>138</v>
      </c>
      <c r="B32" s="102">
        <v>5.5E-2</v>
      </c>
    </row>
    <row r="33" spans="1:2" x14ac:dyDescent="0.25">
      <c r="A33" t="s">
        <v>139</v>
      </c>
      <c r="B33" s="102">
        <v>0</v>
      </c>
    </row>
    <row r="34" spans="1:2" x14ac:dyDescent="0.25">
      <c r="B34" s="89"/>
    </row>
    <row r="35" spans="1:2" x14ac:dyDescent="0.25">
      <c r="A35" s="88" t="s">
        <v>140</v>
      </c>
      <c r="B35" s="89"/>
    </row>
    <row r="36" spans="1:2" x14ac:dyDescent="0.25">
      <c r="A36" t="s">
        <v>141</v>
      </c>
      <c r="B36" s="106">
        <v>0.25</v>
      </c>
    </row>
    <row r="37" spans="1:2" x14ac:dyDescent="0.25">
      <c r="A37" t="s">
        <v>142</v>
      </c>
      <c r="B37" s="105">
        <v>0.3</v>
      </c>
    </row>
  </sheetData>
  <sheetProtection algorithmName="SHA-512" hashValue="MpvepAscPCh8Sr+qCRBfcVkXKf/OgU1vpW7ru4/Wfsq8Sq3W//3vfUhLTMRCgEQEe8P2tt1gEsTVuJU10I33ZA==" saltValue="znHeLkYRa9qYsAF/y+ZHNQ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1"/>
  <sheetViews>
    <sheetView zoomScale="77" zoomScaleNormal="77" workbookViewId="0">
      <pane ySplit="2" topLeftCell="A3" activePane="bottomLeft" state="frozen"/>
      <selection pane="bottomLeft" activeCell="J30" sqref="J30"/>
    </sheetView>
  </sheetViews>
  <sheetFormatPr defaultRowHeight="12.75" x14ac:dyDescent="0.2"/>
  <cols>
    <col min="1" max="1" width="9.140625" style="8"/>
    <col min="2" max="2" width="29.7109375" style="8" customWidth="1"/>
    <col min="3" max="3" width="20.7109375" style="8" customWidth="1"/>
    <col min="4" max="4" width="16" style="8" customWidth="1"/>
    <col min="5" max="5" width="15.140625" style="8" customWidth="1"/>
    <col min="6" max="6" width="12.5703125" style="8" customWidth="1"/>
    <col min="7" max="7" width="18.42578125" style="8" customWidth="1"/>
    <col min="8" max="8" width="19" style="80" customWidth="1"/>
    <col min="9" max="9" width="8.5703125" style="8" customWidth="1"/>
    <col min="10" max="10" width="16" style="8" customWidth="1"/>
    <col min="11" max="11" width="10.5703125" style="8" bestFit="1" customWidth="1"/>
    <col min="12" max="15" width="8.85546875" style="8" bestFit="1" customWidth="1"/>
    <col min="16" max="237" width="8.7109375" style="8"/>
    <col min="238" max="238" width="2.28515625" style="8" customWidth="1"/>
    <col min="239" max="239" width="16.5703125" style="8" customWidth="1"/>
    <col min="240" max="240" width="16" style="8" customWidth="1"/>
    <col min="241" max="241" width="14" style="8" customWidth="1"/>
    <col min="242" max="242" width="16" style="8" customWidth="1"/>
    <col min="243" max="243" width="15.85546875" style="8" customWidth="1"/>
    <col min="244" max="244" width="19" style="8" customWidth="1"/>
    <col min="245" max="246" width="8.7109375" style="8"/>
    <col min="247" max="247" width="10.7109375" style="8" bestFit="1" customWidth="1"/>
    <col min="248" max="493" width="8.7109375" style="8"/>
    <col min="494" max="494" width="2.28515625" style="8" customWidth="1"/>
    <col min="495" max="495" width="16.5703125" style="8" customWidth="1"/>
    <col min="496" max="496" width="16" style="8" customWidth="1"/>
    <col min="497" max="497" width="14" style="8" customWidth="1"/>
    <col min="498" max="498" width="16" style="8" customWidth="1"/>
    <col min="499" max="499" width="15.85546875" style="8" customWidth="1"/>
    <col min="500" max="500" width="19" style="8" customWidth="1"/>
    <col min="501" max="502" width="8.7109375" style="8"/>
    <col min="503" max="503" width="10.7109375" style="8" bestFit="1" customWidth="1"/>
    <col min="504" max="749" width="8.7109375" style="8"/>
    <col min="750" max="750" width="2.28515625" style="8" customWidth="1"/>
    <col min="751" max="751" width="16.5703125" style="8" customWidth="1"/>
    <col min="752" max="752" width="16" style="8" customWidth="1"/>
    <col min="753" max="753" width="14" style="8" customWidth="1"/>
    <col min="754" max="754" width="16" style="8" customWidth="1"/>
    <col min="755" max="755" width="15.85546875" style="8" customWidth="1"/>
    <col min="756" max="756" width="19" style="8" customWidth="1"/>
    <col min="757" max="758" width="8.7109375" style="8"/>
    <col min="759" max="759" width="10.7109375" style="8" bestFit="1" customWidth="1"/>
    <col min="760" max="1005" width="8.7109375" style="8"/>
    <col min="1006" max="1006" width="2.28515625" style="8" customWidth="1"/>
    <col min="1007" max="1007" width="16.5703125" style="8" customWidth="1"/>
    <col min="1008" max="1008" width="16" style="8" customWidth="1"/>
    <col min="1009" max="1009" width="14" style="8" customWidth="1"/>
    <col min="1010" max="1010" width="16" style="8" customWidth="1"/>
    <col min="1011" max="1011" width="15.85546875" style="8" customWidth="1"/>
    <col min="1012" max="1012" width="19" style="8" customWidth="1"/>
    <col min="1013" max="1014" width="8.7109375" style="8"/>
    <col min="1015" max="1015" width="10.7109375" style="8" bestFit="1" customWidth="1"/>
    <col min="1016" max="1261" width="8.7109375" style="8"/>
    <col min="1262" max="1262" width="2.28515625" style="8" customWidth="1"/>
    <col min="1263" max="1263" width="16.5703125" style="8" customWidth="1"/>
    <col min="1264" max="1264" width="16" style="8" customWidth="1"/>
    <col min="1265" max="1265" width="14" style="8" customWidth="1"/>
    <col min="1266" max="1266" width="16" style="8" customWidth="1"/>
    <col min="1267" max="1267" width="15.85546875" style="8" customWidth="1"/>
    <col min="1268" max="1268" width="19" style="8" customWidth="1"/>
    <col min="1269" max="1270" width="8.7109375" style="8"/>
    <col min="1271" max="1271" width="10.7109375" style="8" bestFit="1" customWidth="1"/>
    <col min="1272" max="1517" width="8.7109375" style="8"/>
    <col min="1518" max="1518" width="2.28515625" style="8" customWidth="1"/>
    <col min="1519" max="1519" width="16.5703125" style="8" customWidth="1"/>
    <col min="1520" max="1520" width="16" style="8" customWidth="1"/>
    <col min="1521" max="1521" width="14" style="8" customWidth="1"/>
    <col min="1522" max="1522" width="16" style="8" customWidth="1"/>
    <col min="1523" max="1523" width="15.85546875" style="8" customWidth="1"/>
    <col min="1524" max="1524" width="19" style="8" customWidth="1"/>
    <col min="1525" max="1526" width="8.7109375" style="8"/>
    <col min="1527" max="1527" width="10.7109375" style="8" bestFit="1" customWidth="1"/>
    <col min="1528" max="1773" width="8.7109375" style="8"/>
    <col min="1774" max="1774" width="2.28515625" style="8" customWidth="1"/>
    <col min="1775" max="1775" width="16.5703125" style="8" customWidth="1"/>
    <col min="1776" max="1776" width="16" style="8" customWidth="1"/>
    <col min="1777" max="1777" width="14" style="8" customWidth="1"/>
    <col min="1778" max="1778" width="16" style="8" customWidth="1"/>
    <col min="1779" max="1779" width="15.85546875" style="8" customWidth="1"/>
    <col min="1780" max="1780" width="19" style="8" customWidth="1"/>
    <col min="1781" max="1782" width="8.7109375" style="8"/>
    <col min="1783" max="1783" width="10.7109375" style="8" bestFit="1" customWidth="1"/>
    <col min="1784" max="2029" width="8.7109375" style="8"/>
    <col min="2030" max="2030" width="2.28515625" style="8" customWidth="1"/>
    <col min="2031" max="2031" width="16.5703125" style="8" customWidth="1"/>
    <col min="2032" max="2032" width="16" style="8" customWidth="1"/>
    <col min="2033" max="2033" width="14" style="8" customWidth="1"/>
    <col min="2034" max="2034" width="16" style="8" customWidth="1"/>
    <col min="2035" max="2035" width="15.85546875" style="8" customWidth="1"/>
    <col min="2036" max="2036" width="19" style="8" customWidth="1"/>
    <col min="2037" max="2038" width="8.7109375" style="8"/>
    <col min="2039" max="2039" width="10.7109375" style="8" bestFit="1" customWidth="1"/>
    <col min="2040" max="2285" width="8.7109375" style="8"/>
    <col min="2286" max="2286" width="2.28515625" style="8" customWidth="1"/>
    <col min="2287" max="2287" width="16.5703125" style="8" customWidth="1"/>
    <col min="2288" max="2288" width="16" style="8" customWidth="1"/>
    <col min="2289" max="2289" width="14" style="8" customWidth="1"/>
    <col min="2290" max="2290" width="16" style="8" customWidth="1"/>
    <col min="2291" max="2291" width="15.85546875" style="8" customWidth="1"/>
    <col min="2292" max="2292" width="19" style="8" customWidth="1"/>
    <col min="2293" max="2294" width="8.7109375" style="8"/>
    <col min="2295" max="2295" width="10.7109375" style="8" bestFit="1" customWidth="1"/>
    <col min="2296" max="2541" width="8.7109375" style="8"/>
    <col min="2542" max="2542" width="2.28515625" style="8" customWidth="1"/>
    <col min="2543" max="2543" width="16.5703125" style="8" customWidth="1"/>
    <col min="2544" max="2544" width="16" style="8" customWidth="1"/>
    <col min="2545" max="2545" width="14" style="8" customWidth="1"/>
    <col min="2546" max="2546" width="16" style="8" customWidth="1"/>
    <col min="2547" max="2547" width="15.85546875" style="8" customWidth="1"/>
    <col min="2548" max="2548" width="19" style="8" customWidth="1"/>
    <col min="2549" max="2550" width="8.7109375" style="8"/>
    <col min="2551" max="2551" width="10.7109375" style="8" bestFit="1" customWidth="1"/>
    <col min="2552" max="2797" width="8.7109375" style="8"/>
    <col min="2798" max="2798" width="2.28515625" style="8" customWidth="1"/>
    <col min="2799" max="2799" width="16.5703125" style="8" customWidth="1"/>
    <col min="2800" max="2800" width="16" style="8" customWidth="1"/>
    <col min="2801" max="2801" width="14" style="8" customWidth="1"/>
    <col min="2802" max="2802" width="16" style="8" customWidth="1"/>
    <col min="2803" max="2803" width="15.85546875" style="8" customWidth="1"/>
    <col min="2804" max="2804" width="19" style="8" customWidth="1"/>
    <col min="2805" max="2806" width="8.7109375" style="8"/>
    <col min="2807" max="2807" width="10.7109375" style="8" bestFit="1" customWidth="1"/>
    <col min="2808" max="3053" width="8.7109375" style="8"/>
    <col min="3054" max="3054" width="2.28515625" style="8" customWidth="1"/>
    <col min="3055" max="3055" width="16.5703125" style="8" customWidth="1"/>
    <col min="3056" max="3056" width="16" style="8" customWidth="1"/>
    <col min="3057" max="3057" width="14" style="8" customWidth="1"/>
    <col min="3058" max="3058" width="16" style="8" customWidth="1"/>
    <col min="3059" max="3059" width="15.85546875" style="8" customWidth="1"/>
    <col min="3060" max="3060" width="19" style="8" customWidth="1"/>
    <col min="3061" max="3062" width="8.7109375" style="8"/>
    <col min="3063" max="3063" width="10.7109375" style="8" bestFit="1" customWidth="1"/>
    <col min="3064" max="3309" width="8.7109375" style="8"/>
    <col min="3310" max="3310" width="2.28515625" style="8" customWidth="1"/>
    <col min="3311" max="3311" width="16.5703125" style="8" customWidth="1"/>
    <col min="3312" max="3312" width="16" style="8" customWidth="1"/>
    <col min="3313" max="3313" width="14" style="8" customWidth="1"/>
    <col min="3314" max="3314" width="16" style="8" customWidth="1"/>
    <col min="3315" max="3315" width="15.85546875" style="8" customWidth="1"/>
    <col min="3316" max="3316" width="19" style="8" customWidth="1"/>
    <col min="3317" max="3318" width="8.7109375" style="8"/>
    <col min="3319" max="3319" width="10.7109375" style="8" bestFit="1" customWidth="1"/>
    <col min="3320" max="3565" width="8.7109375" style="8"/>
    <col min="3566" max="3566" width="2.28515625" style="8" customWidth="1"/>
    <col min="3567" max="3567" width="16.5703125" style="8" customWidth="1"/>
    <col min="3568" max="3568" width="16" style="8" customWidth="1"/>
    <col min="3569" max="3569" width="14" style="8" customWidth="1"/>
    <col min="3570" max="3570" width="16" style="8" customWidth="1"/>
    <col min="3571" max="3571" width="15.85546875" style="8" customWidth="1"/>
    <col min="3572" max="3572" width="19" style="8" customWidth="1"/>
    <col min="3573" max="3574" width="8.7109375" style="8"/>
    <col min="3575" max="3575" width="10.7109375" style="8" bestFit="1" customWidth="1"/>
    <col min="3576" max="3821" width="8.7109375" style="8"/>
    <col min="3822" max="3822" width="2.28515625" style="8" customWidth="1"/>
    <col min="3823" max="3823" width="16.5703125" style="8" customWidth="1"/>
    <col min="3824" max="3824" width="16" style="8" customWidth="1"/>
    <col min="3825" max="3825" width="14" style="8" customWidth="1"/>
    <col min="3826" max="3826" width="16" style="8" customWidth="1"/>
    <col min="3827" max="3827" width="15.85546875" style="8" customWidth="1"/>
    <col min="3828" max="3828" width="19" style="8" customWidth="1"/>
    <col min="3829" max="3830" width="8.7109375" style="8"/>
    <col min="3831" max="3831" width="10.7109375" style="8" bestFit="1" customWidth="1"/>
    <col min="3832" max="4077" width="8.7109375" style="8"/>
    <col min="4078" max="4078" width="2.28515625" style="8" customWidth="1"/>
    <col min="4079" max="4079" width="16.5703125" style="8" customWidth="1"/>
    <col min="4080" max="4080" width="16" style="8" customWidth="1"/>
    <col min="4081" max="4081" width="14" style="8" customWidth="1"/>
    <col min="4082" max="4082" width="16" style="8" customWidth="1"/>
    <col min="4083" max="4083" width="15.85546875" style="8" customWidth="1"/>
    <col min="4084" max="4084" width="19" style="8" customWidth="1"/>
    <col min="4085" max="4086" width="8.7109375" style="8"/>
    <col min="4087" max="4087" width="10.7109375" style="8" bestFit="1" customWidth="1"/>
    <col min="4088" max="4333" width="8.7109375" style="8"/>
    <col min="4334" max="4334" width="2.28515625" style="8" customWidth="1"/>
    <col min="4335" max="4335" width="16.5703125" style="8" customWidth="1"/>
    <col min="4336" max="4336" width="16" style="8" customWidth="1"/>
    <col min="4337" max="4337" width="14" style="8" customWidth="1"/>
    <col min="4338" max="4338" width="16" style="8" customWidth="1"/>
    <col min="4339" max="4339" width="15.85546875" style="8" customWidth="1"/>
    <col min="4340" max="4340" width="19" style="8" customWidth="1"/>
    <col min="4341" max="4342" width="8.7109375" style="8"/>
    <col min="4343" max="4343" width="10.7109375" style="8" bestFit="1" customWidth="1"/>
    <col min="4344" max="4589" width="8.7109375" style="8"/>
    <col min="4590" max="4590" width="2.28515625" style="8" customWidth="1"/>
    <col min="4591" max="4591" width="16.5703125" style="8" customWidth="1"/>
    <col min="4592" max="4592" width="16" style="8" customWidth="1"/>
    <col min="4593" max="4593" width="14" style="8" customWidth="1"/>
    <col min="4594" max="4594" width="16" style="8" customWidth="1"/>
    <col min="4595" max="4595" width="15.85546875" style="8" customWidth="1"/>
    <col min="4596" max="4596" width="19" style="8" customWidth="1"/>
    <col min="4597" max="4598" width="8.7109375" style="8"/>
    <col min="4599" max="4599" width="10.7109375" style="8" bestFit="1" customWidth="1"/>
    <col min="4600" max="4845" width="8.7109375" style="8"/>
    <col min="4846" max="4846" width="2.28515625" style="8" customWidth="1"/>
    <col min="4847" max="4847" width="16.5703125" style="8" customWidth="1"/>
    <col min="4848" max="4848" width="16" style="8" customWidth="1"/>
    <col min="4849" max="4849" width="14" style="8" customWidth="1"/>
    <col min="4850" max="4850" width="16" style="8" customWidth="1"/>
    <col min="4851" max="4851" width="15.85546875" style="8" customWidth="1"/>
    <col min="4852" max="4852" width="19" style="8" customWidth="1"/>
    <col min="4853" max="4854" width="8.7109375" style="8"/>
    <col min="4855" max="4855" width="10.7109375" style="8" bestFit="1" customWidth="1"/>
    <col min="4856" max="5101" width="8.7109375" style="8"/>
    <col min="5102" max="5102" width="2.28515625" style="8" customWidth="1"/>
    <col min="5103" max="5103" width="16.5703125" style="8" customWidth="1"/>
    <col min="5104" max="5104" width="16" style="8" customWidth="1"/>
    <col min="5105" max="5105" width="14" style="8" customWidth="1"/>
    <col min="5106" max="5106" width="16" style="8" customWidth="1"/>
    <col min="5107" max="5107" width="15.85546875" style="8" customWidth="1"/>
    <col min="5108" max="5108" width="19" style="8" customWidth="1"/>
    <col min="5109" max="5110" width="8.7109375" style="8"/>
    <col min="5111" max="5111" width="10.7109375" style="8" bestFit="1" customWidth="1"/>
    <col min="5112" max="5357" width="8.7109375" style="8"/>
    <col min="5358" max="5358" width="2.28515625" style="8" customWidth="1"/>
    <col min="5359" max="5359" width="16.5703125" style="8" customWidth="1"/>
    <col min="5360" max="5360" width="16" style="8" customWidth="1"/>
    <col min="5361" max="5361" width="14" style="8" customWidth="1"/>
    <col min="5362" max="5362" width="16" style="8" customWidth="1"/>
    <col min="5363" max="5363" width="15.85546875" style="8" customWidth="1"/>
    <col min="5364" max="5364" width="19" style="8" customWidth="1"/>
    <col min="5365" max="5366" width="8.7109375" style="8"/>
    <col min="5367" max="5367" width="10.7109375" style="8" bestFit="1" customWidth="1"/>
    <col min="5368" max="5613" width="8.7109375" style="8"/>
    <col min="5614" max="5614" width="2.28515625" style="8" customWidth="1"/>
    <col min="5615" max="5615" width="16.5703125" style="8" customWidth="1"/>
    <col min="5616" max="5616" width="16" style="8" customWidth="1"/>
    <col min="5617" max="5617" width="14" style="8" customWidth="1"/>
    <col min="5618" max="5618" width="16" style="8" customWidth="1"/>
    <col min="5619" max="5619" width="15.85546875" style="8" customWidth="1"/>
    <col min="5620" max="5620" width="19" style="8" customWidth="1"/>
    <col min="5621" max="5622" width="8.7109375" style="8"/>
    <col min="5623" max="5623" width="10.7109375" style="8" bestFit="1" customWidth="1"/>
    <col min="5624" max="5869" width="8.7109375" style="8"/>
    <col min="5870" max="5870" width="2.28515625" style="8" customWidth="1"/>
    <col min="5871" max="5871" width="16.5703125" style="8" customWidth="1"/>
    <col min="5872" max="5872" width="16" style="8" customWidth="1"/>
    <col min="5873" max="5873" width="14" style="8" customWidth="1"/>
    <col min="5874" max="5874" width="16" style="8" customWidth="1"/>
    <col min="5875" max="5875" width="15.85546875" style="8" customWidth="1"/>
    <col min="5876" max="5876" width="19" style="8" customWidth="1"/>
    <col min="5877" max="5878" width="8.7109375" style="8"/>
    <col min="5879" max="5879" width="10.7109375" style="8" bestFit="1" customWidth="1"/>
    <col min="5880" max="6125" width="8.7109375" style="8"/>
    <col min="6126" max="6126" width="2.28515625" style="8" customWidth="1"/>
    <col min="6127" max="6127" width="16.5703125" style="8" customWidth="1"/>
    <col min="6128" max="6128" width="16" style="8" customWidth="1"/>
    <col min="6129" max="6129" width="14" style="8" customWidth="1"/>
    <col min="6130" max="6130" width="16" style="8" customWidth="1"/>
    <col min="6131" max="6131" width="15.85546875" style="8" customWidth="1"/>
    <col min="6132" max="6132" width="19" style="8" customWidth="1"/>
    <col min="6133" max="6134" width="8.7109375" style="8"/>
    <col min="6135" max="6135" width="10.7109375" style="8" bestFit="1" customWidth="1"/>
    <col min="6136" max="6381" width="8.7109375" style="8"/>
    <col min="6382" max="6382" width="2.28515625" style="8" customWidth="1"/>
    <col min="6383" max="6383" width="16.5703125" style="8" customWidth="1"/>
    <col min="6384" max="6384" width="16" style="8" customWidth="1"/>
    <col min="6385" max="6385" width="14" style="8" customWidth="1"/>
    <col min="6386" max="6386" width="16" style="8" customWidth="1"/>
    <col min="6387" max="6387" width="15.85546875" style="8" customWidth="1"/>
    <col min="6388" max="6388" width="19" style="8" customWidth="1"/>
    <col min="6389" max="6390" width="8.7109375" style="8"/>
    <col min="6391" max="6391" width="10.7109375" style="8" bestFit="1" customWidth="1"/>
    <col min="6392" max="6637" width="8.7109375" style="8"/>
    <col min="6638" max="6638" width="2.28515625" style="8" customWidth="1"/>
    <col min="6639" max="6639" width="16.5703125" style="8" customWidth="1"/>
    <col min="6640" max="6640" width="16" style="8" customWidth="1"/>
    <col min="6641" max="6641" width="14" style="8" customWidth="1"/>
    <col min="6642" max="6642" width="16" style="8" customWidth="1"/>
    <col min="6643" max="6643" width="15.85546875" style="8" customWidth="1"/>
    <col min="6644" max="6644" width="19" style="8" customWidth="1"/>
    <col min="6645" max="6646" width="8.7109375" style="8"/>
    <col min="6647" max="6647" width="10.7109375" style="8" bestFit="1" customWidth="1"/>
    <col min="6648" max="6893" width="8.7109375" style="8"/>
    <col min="6894" max="6894" width="2.28515625" style="8" customWidth="1"/>
    <col min="6895" max="6895" width="16.5703125" style="8" customWidth="1"/>
    <col min="6896" max="6896" width="16" style="8" customWidth="1"/>
    <col min="6897" max="6897" width="14" style="8" customWidth="1"/>
    <col min="6898" max="6898" width="16" style="8" customWidth="1"/>
    <col min="6899" max="6899" width="15.85546875" style="8" customWidth="1"/>
    <col min="6900" max="6900" width="19" style="8" customWidth="1"/>
    <col min="6901" max="6902" width="8.7109375" style="8"/>
    <col min="6903" max="6903" width="10.7109375" style="8" bestFit="1" customWidth="1"/>
    <col min="6904" max="7149" width="8.7109375" style="8"/>
    <col min="7150" max="7150" width="2.28515625" style="8" customWidth="1"/>
    <col min="7151" max="7151" width="16.5703125" style="8" customWidth="1"/>
    <col min="7152" max="7152" width="16" style="8" customWidth="1"/>
    <col min="7153" max="7153" width="14" style="8" customWidth="1"/>
    <col min="7154" max="7154" width="16" style="8" customWidth="1"/>
    <col min="7155" max="7155" width="15.85546875" style="8" customWidth="1"/>
    <col min="7156" max="7156" width="19" style="8" customWidth="1"/>
    <col min="7157" max="7158" width="8.7109375" style="8"/>
    <col min="7159" max="7159" width="10.7109375" style="8" bestFit="1" customWidth="1"/>
    <col min="7160" max="7405" width="8.7109375" style="8"/>
    <col min="7406" max="7406" width="2.28515625" style="8" customWidth="1"/>
    <col min="7407" max="7407" width="16.5703125" style="8" customWidth="1"/>
    <col min="7408" max="7408" width="16" style="8" customWidth="1"/>
    <col min="7409" max="7409" width="14" style="8" customWidth="1"/>
    <col min="7410" max="7410" width="16" style="8" customWidth="1"/>
    <col min="7411" max="7411" width="15.85546875" style="8" customWidth="1"/>
    <col min="7412" max="7412" width="19" style="8" customWidth="1"/>
    <col min="7413" max="7414" width="8.7109375" style="8"/>
    <col min="7415" max="7415" width="10.7109375" style="8" bestFit="1" customWidth="1"/>
    <col min="7416" max="7661" width="8.7109375" style="8"/>
    <col min="7662" max="7662" width="2.28515625" style="8" customWidth="1"/>
    <col min="7663" max="7663" width="16.5703125" style="8" customWidth="1"/>
    <col min="7664" max="7664" width="16" style="8" customWidth="1"/>
    <col min="7665" max="7665" width="14" style="8" customWidth="1"/>
    <col min="7666" max="7666" width="16" style="8" customWidth="1"/>
    <col min="7667" max="7667" width="15.85546875" style="8" customWidth="1"/>
    <col min="7668" max="7668" width="19" style="8" customWidth="1"/>
    <col min="7669" max="7670" width="8.7109375" style="8"/>
    <col min="7671" max="7671" width="10.7109375" style="8" bestFit="1" customWidth="1"/>
    <col min="7672" max="7917" width="8.7109375" style="8"/>
    <col min="7918" max="7918" width="2.28515625" style="8" customWidth="1"/>
    <col min="7919" max="7919" width="16.5703125" style="8" customWidth="1"/>
    <col min="7920" max="7920" width="16" style="8" customWidth="1"/>
    <col min="7921" max="7921" width="14" style="8" customWidth="1"/>
    <col min="7922" max="7922" width="16" style="8" customWidth="1"/>
    <col min="7923" max="7923" width="15.85546875" style="8" customWidth="1"/>
    <col min="7924" max="7924" width="19" style="8" customWidth="1"/>
    <col min="7925" max="7926" width="8.7109375" style="8"/>
    <col min="7927" max="7927" width="10.7109375" style="8" bestFit="1" customWidth="1"/>
    <col min="7928" max="8173" width="8.7109375" style="8"/>
    <col min="8174" max="8174" width="2.28515625" style="8" customWidth="1"/>
    <col min="8175" max="8175" width="16.5703125" style="8" customWidth="1"/>
    <col min="8176" max="8176" width="16" style="8" customWidth="1"/>
    <col min="8177" max="8177" width="14" style="8" customWidth="1"/>
    <col min="8178" max="8178" width="16" style="8" customWidth="1"/>
    <col min="8179" max="8179" width="15.85546875" style="8" customWidth="1"/>
    <col min="8180" max="8180" width="19" style="8" customWidth="1"/>
    <col min="8181" max="8182" width="8.7109375" style="8"/>
    <col min="8183" max="8183" width="10.7109375" style="8" bestFit="1" customWidth="1"/>
    <col min="8184" max="8429" width="8.7109375" style="8"/>
    <col min="8430" max="8430" width="2.28515625" style="8" customWidth="1"/>
    <col min="8431" max="8431" width="16.5703125" style="8" customWidth="1"/>
    <col min="8432" max="8432" width="16" style="8" customWidth="1"/>
    <col min="8433" max="8433" width="14" style="8" customWidth="1"/>
    <col min="8434" max="8434" width="16" style="8" customWidth="1"/>
    <col min="8435" max="8435" width="15.85546875" style="8" customWidth="1"/>
    <col min="8436" max="8436" width="19" style="8" customWidth="1"/>
    <col min="8437" max="8438" width="8.7109375" style="8"/>
    <col min="8439" max="8439" width="10.7109375" style="8" bestFit="1" customWidth="1"/>
    <col min="8440" max="8685" width="8.7109375" style="8"/>
    <col min="8686" max="8686" width="2.28515625" style="8" customWidth="1"/>
    <col min="8687" max="8687" width="16.5703125" style="8" customWidth="1"/>
    <col min="8688" max="8688" width="16" style="8" customWidth="1"/>
    <col min="8689" max="8689" width="14" style="8" customWidth="1"/>
    <col min="8690" max="8690" width="16" style="8" customWidth="1"/>
    <col min="8691" max="8691" width="15.85546875" style="8" customWidth="1"/>
    <col min="8692" max="8692" width="19" style="8" customWidth="1"/>
    <col min="8693" max="8694" width="8.7109375" style="8"/>
    <col min="8695" max="8695" width="10.7109375" style="8" bestFit="1" customWidth="1"/>
    <col min="8696" max="8941" width="8.7109375" style="8"/>
    <col min="8942" max="8942" width="2.28515625" style="8" customWidth="1"/>
    <col min="8943" max="8943" width="16.5703125" style="8" customWidth="1"/>
    <col min="8944" max="8944" width="16" style="8" customWidth="1"/>
    <col min="8945" max="8945" width="14" style="8" customWidth="1"/>
    <col min="8946" max="8946" width="16" style="8" customWidth="1"/>
    <col min="8947" max="8947" width="15.85546875" style="8" customWidth="1"/>
    <col min="8948" max="8948" width="19" style="8" customWidth="1"/>
    <col min="8949" max="8950" width="8.7109375" style="8"/>
    <col min="8951" max="8951" width="10.7109375" style="8" bestFit="1" customWidth="1"/>
    <col min="8952" max="9197" width="8.7109375" style="8"/>
    <col min="9198" max="9198" width="2.28515625" style="8" customWidth="1"/>
    <col min="9199" max="9199" width="16.5703125" style="8" customWidth="1"/>
    <col min="9200" max="9200" width="16" style="8" customWidth="1"/>
    <col min="9201" max="9201" width="14" style="8" customWidth="1"/>
    <col min="9202" max="9202" width="16" style="8" customWidth="1"/>
    <col min="9203" max="9203" width="15.85546875" style="8" customWidth="1"/>
    <col min="9204" max="9204" width="19" style="8" customWidth="1"/>
    <col min="9205" max="9206" width="8.7109375" style="8"/>
    <col min="9207" max="9207" width="10.7109375" style="8" bestFit="1" customWidth="1"/>
    <col min="9208" max="9453" width="8.7109375" style="8"/>
    <col min="9454" max="9454" width="2.28515625" style="8" customWidth="1"/>
    <col min="9455" max="9455" width="16.5703125" style="8" customWidth="1"/>
    <col min="9456" max="9456" width="16" style="8" customWidth="1"/>
    <col min="9457" max="9457" width="14" style="8" customWidth="1"/>
    <col min="9458" max="9458" width="16" style="8" customWidth="1"/>
    <col min="9459" max="9459" width="15.85546875" style="8" customWidth="1"/>
    <col min="9460" max="9460" width="19" style="8" customWidth="1"/>
    <col min="9461" max="9462" width="8.7109375" style="8"/>
    <col min="9463" max="9463" width="10.7109375" style="8" bestFit="1" customWidth="1"/>
    <col min="9464" max="9709" width="8.7109375" style="8"/>
    <col min="9710" max="9710" width="2.28515625" style="8" customWidth="1"/>
    <col min="9711" max="9711" width="16.5703125" style="8" customWidth="1"/>
    <col min="9712" max="9712" width="16" style="8" customWidth="1"/>
    <col min="9713" max="9713" width="14" style="8" customWidth="1"/>
    <col min="9714" max="9714" width="16" style="8" customWidth="1"/>
    <col min="9715" max="9715" width="15.85546875" style="8" customWidth="1"/>
    <col min="9716" max="9716" width="19" style="8" customWidth="1"/>
    <col min="9717" max="9718" width="8.7109375" style="8"/>
    <col min="9719" max="9719" width="10.7109375" style="8" bestFit="1" customWidth="1"/>
    <col min="9720" max="9965" width="8.7109375" style="8"/>
    <col min="9966" max="9966" width="2.28515625" style="8" customWidth="1"/>
    <col min="9967" max="9967" width="16.5703125" style="8" customWidth="1"/>
    <col min="9968" max="9968" width="16" style="8" customWidth="1"/>
    <col min="9969" max="9969" width="14" style="8" customWidth="1"/>
    <col min="9970" max="9970" width="16" style="8" customWidth="1"/>
    <col min="9971" max="9971" width="15.85546875" style="8" customWidth="1"/>
    <col min="9972" max="9972" width="19" style="8" customWidth="1"/>
    <col min="9973" max="9974" width="8.7109375" style="8"/>
    <col min="9975" max="9975" width="10.7109375" style="8" bestFit="1" customWidth="1"/>
    <col min="9976" max="10221" width="8.7109375" style="8"/>
    <col min="10222" max="10222" width="2.28515625" style="8" customWidth="1"/>
    <col min="10223" max="10223" width="16.5703125" style="8" customWidth="1"/>
    <col min="10224" max="10224" width="16" style="8" customWidth="1"/>
    <col min="10225" max="10225" width="14" style="8" customWidth="1"/>
    <col min="10226" max="10226" width="16" style="8" customWidth="1"/>
    <col min="10227" max="10227" width="15.85546875" style="8" customWidth="1"/>
    <col min="10228" max="10228" width="19" style="8" customWidth="1"/>
    <col min="10229" max="10230" width="8.7109375" style="8"/>
    <col min="10231" max="10231" width="10.7109375" style="8" bestFit="1" customWidth="1"/>
    <col min="10232" max="10477" width="8.7109375" style="8"/>
    <col min="10478" max="10478" width="2.28515625" style="8" customWidth="1"/>
    <col min="10479" max="10479" width="16.5703125" style="8" customWidth="1"/>
    <col min="10480" max="10480" width="16" style="8" customWidth="1"/>
    <col min="10481" max="10481" width="14" style="8" customWidth="1"/>
    <col min="10482" max="10482" width="16" style="8" customWidth="1"/>
    <col min="10483" max="10483" width="15.85546875" style="8" customWidth="1"/>
    <col min="10484" max="10484" width="19" style="8" customWidth="1"/>
    <col min="10485" max="10486" width="8.7109375" style="8"/>
    <col min="10487" max="10487" width="10.7109375" style="8" bestFit="1" customWidth="1"/>
    <col min="10488" max="10733" width="8.7109375" style="8"/>
    <col min="10734" max="10734" width="2.28515625" style="8" customWidth="1"/>
    <col min="10735" max="10735" width="16.5703125" style="8" customWidth="1"/>
    <col min="10736" max="10736" width="16" style="8" customWidth="1"/>
    <col min="10737" max="10737" width="14" style="8" customWidth="1"/>
    <col min="10738" max="10738" width="16" style="8" customWidth="1"/>
    <col min="10739" max="10739" width="15.85546875" style="8" customWidth="1"/>
    <col min="10740" max="10740" width="19" style="8" customWidth="1"/>
    <col min="10741" max="10742" width="8.7109375" style="8"/>
    <col min="10743" max="10743" width="10.7109375" style="8" bestFit="1" customWidth="1"/>
    <col min="10744" max="10989" width="8.7109375" style="8"/>
    <col min="10990" max="10990" width="2.28515625" style="8" customWidth="1"/>
    <col min="10991" max="10991" width="16.5703125" style="8" customWidth="1"/>
    <col min="10992" max="10992" width="16" style="8" customWidth="1"/>
    <col min="10993" max="10993" width="14" style="8" customWidth="1"/>
    <col min="10994" max="10994" width="16" style="8" customWidth="1"/>
    <col min="10995" max="10995" width="15.85546875" style="8" customWidth="1"/>
    <col min="10996" max="10996" width="19" style="8" customWidth="1"/>
    <col min="10997" max="10998" width="8.7109375" style="8"/>
    <col min="10999" max="10999" width="10.7109375" style="8" bestFit="1" customWidth="1"/>
    <col min="11000" max="11245" width="8.7109375" style="8"/>
    <col min="11246" max="11246" width="2.28515625" style="8" customWidth="1"/>
    <col min="11247" max="11247" width="16.5703125" style="8" customWidth="1"/>
    <col min="11248" max="11248" width="16" style="8" customWidth="1"/>
    <col min="11249" max="11249" width="14" style="8" customWidth="1"/>
    <col min="11250" max="11250" width="16" style="8" customWidth="1"/>
    <col min="11251" max="11251" width="15.85546875" style="8" customWidth="1"/>
    <col min="11252" max="11252" width="19" style="8" customWidth="1"/>
    <col min="11253" max="11254" width="8.7109375" style="8"/>
    <col min="11255" max="11255" width="10.7109375" style="8" bestFit="1" customWidth="1"/>
    <col min="11256" max="11501" width="8.7109375" style="8"/>
    <col min="11502" max="11502" width="2.28515625" style="8" customWidth="1"/>
    <col min="11503" max="11503" width="16.5703125" style="8" customWidth="1"/>
    <col min="11504" max="11504" width="16" style="8" customWidth="1"/>
    <col min="11505" max="11505" width="14" style="8" customWidth="1"/>
    <col min="11506" max="11506" width="16" style="8" customWidth="1"/>
    <col min="11507" max="11507" width="15.85546875" style="8" customWidth="1"/>
    <col min="11508" max="11508" width="19" style="8" customWidth="1"/>
    <col min="11509" max="11510" width="8.7109375" style="8"/>
    <col min="11511" max="11511" width="10.7109375" style="8" bestFit="1" customWidth="1"/>
    <col min="11512" max="11757" width="8.7109375" style="8"/>
    <col min="11758" max="11758" width="2.28515625" style="8" customWidth="1"/>
    <col min="11759" max="11759" width="16.5703125" style="8" customWidth="1"/>
    <col min="11760" max="11760" width="16" style="8" customWidth="1"/>
    <col min="11761" max="11761" width="14" style="8" customWidth="1"/>
    <col min="11762" max="11762" width="16" style="8" customWidth="1"/>
    <col min="11763" max="11763" width="15.85546875" style="8" customWidth="1"/>
    <col min="11764" max="11764" width="19" style="8" customWidth="1"/>
    <col min="11765" max="11766" width="8.7109375" style="8"/>
    <col min="11767" max="11767" width="10.7109375" style="8" bestFit="1" customWidth="1"/>
    <col min="11768" max="12013" width="8.7109375" style="8"/>
    <col min="12014" max="12014" width="2.28515625" style="8" customWidth="1"/>
    <col min="12015" max="12015" width="16.5703125" style="8" customWidth="1"/>
    <col min="12016" max="12016" width="16" style="8" customWidth="1"/>
    <col min="12017" max="12017" width="14" style="8" customWidth="1"/>
    <col min="12018" max="12018" width="16" style="8" customWidth="1"/>
    <col min="12019" max="12019" width="15.85546875" style="8" customWidth="1"/>
    <col min="12020" max="12020" width="19" style="8" customWidth="1"/>
    <col min="12021" max="12022" width="8.7109375" style="8"/>
    <col min="12023" max="12023" width="10.7109375" style="8" bestFit="1" customWidth="1"/>
    <col min="12024" max="12269" width="8.7109375" style="8"/>
    <col min="12270" max="12270" width="2.28515625" style="8" customWidth="1"/>
    <col min="12271" max="12271" width="16.5703125" style="8" customWidth="1"/>
    <col min="12272" max="12272" width="16" style="8" customWidth="1"/>
    <col min="12273" max="12273" width="14" style="8" customWidth="1"/>
    <col min="12274" max="12274" width="16" style="8" customWidth="1"/>
    <col min="12275" max="12275" width="15.85546875" style="8" customWidth="1"/>
    <col min="12276" max="12276" width="19" style="8" customWidth="1"/>
    <col min="12277" max="12278" width="8.7109375" style="8"/>
    <col min="12279" max="12279" width="10.7109375" style="8" bestFit="1" customWidth="1"/>
    <col min="12280" max="12525" width="8.7109375" style="8"/>
    <col min="12526" max="12526" width="2.28515625" style="8" customWidth="1"/>
    <col min="12527" max="12527" width="16.5703125" style="8" customWidth="1"/>
    <col min="12528" max="12528" width="16" style="8" customWidth="1"/>
    <col min="12529" max="12529" width="14" style="8" customWidth="1"/>
    <col min="12530" max="12530" width="16" style="8" customWidth="1"/>
    <col min="12531" max="12531" width="15.85546875" style="8" customWidth="1"/>
    <col min="12532" max="12532" width="19" style="8" customWidth="1"/>
    <col min="12533" max="12534" width="8.7109375" style="8"/>
    <col min="12535" max="12535" width="10.7109375" style="8" bestFit="1" customWidth="1"/>
    <col min="12536" max="12781" width="8.7109375" style="8"/>
    <col min="12782" max="12782" width="2.28515625" style="8" customWidth="1"/>
    <col min="12783" max="12783" width="16.5703125" style="8" customWidth="1"/>
    <col min="12784" max="12784" width="16" style="8" customWidth="1"/>
    <col min="12785" max="12785" width="14" style="8" customWidth="1"/>
    <col min="12786" max="12786" width="16" style="8" customWidth="1"/>
    <col min="12787" max="12787" width="15.85546875" style="8" customWidth="1"/>
    <col min="12788" max="12788" width="19" style="8" customWidth="1"/>
    <col min="12789" max="12790" width="8.7109375" style="8"/>
    <col min="12791" max="12791" width="10.7109375" style="8" bestFit="1" customWidth="1"/>
    <col min="12792" max="13037" width="8.7109375" style="8"/>
    <col min="13038" max="13038" width="2.28515625" style="8" customWidth="1"/>
    <col min="13039" max="13039" width="16.5703125" style="8" customWidth="1"/>
    <col min="13040" max="13040" width="16" style="8" customWidth="1"/>
    <col min="13041" max="13041" width="14" style="8" customWidth="1"/>
    <col min="13042" max="13042" width="16" style="8" customWidth="1"/>
    <col min="13043" max="13043" width="15.85546875" style="8" customWidth="1"/>
    <col min="13044" max="13044" width="19" style="8" customWidth="1"/>
    <col min="13045" max="13046" width="8.7109375" style="8"/>
    <col min="13047" max="13047" width="10.7109375" style="8" bestFit="1" customWidth="1"/>
    <col min="13048" max="13293" width="8.7109375" style="8"/>
    <col min="13294" max="13294" width="2.28515625" style="8" customWidth="1"/>
    <col min="13295" max="13295" width="16.5703125" style="8" customWidth="1"/>
    <col min="13296" max="13296" width="16" style="8" customWidth="1"/>
    <col min="13297" max="13297" width="14" style="8" customWidth="1"/>
    <col min="13298" max="13298" width="16" style="8" customWidth="1"/>
    <col min="13299" max="13299" width="15.85546875" style="8" customWidth="1"/>
    <col min="13300" max="13300" width="19" style="8" customWidth="1"/>
    <col min="13301" max="13302" width="8.7109375" style="8"/>
    <col min="13303" max="13303" width="10.7109375" style="8" bestFit="1" customWidth="1"/>
    <col min="13304" max="13549" width="8.7109375" style="8"/>
    <col min="13550" max="13550" width="2.28515625" style="8" customWidth="1"/>
    <col min="13551" max="13551" width="16.5703125" style="8" customWidth="1"/>
    <col min="13552" max="13552" width="16" style="8" customWidth="1"/>
    <col min="13553" max="13553" width="14" style="8" customWidth="1"/>
    <col min="13554" max="13554" width="16" style="8" customWidth="1"/>
    <col min="13555" max="13555" width="15.85546875" style="8" customWidth="1"/>
    <col min="13556" max="13556" width="19" style="8" customWidth="1"/>
    <col min="13557" max="13558" width="8.7109375" style="8"/>
    <col min="13559" max="13559" width="10.7109375" style="8" bestFit="1" customWidth="1"/>
    <col min="13560" max="13805" width="8.7109375" style="8"/>
    <col min="13806" max="13806" width="2.28515625" style="8" customWidth="1"/>
    <col min="13807" max="13807" width="16.5703125" style="8" customWidth="1"/>
    <col min="13808" max="13808" width="16" style="8" customWidth="1"/>
    <col min="13809" max="13809" width="14" style="8" customWidth="1"/>
    <col min="13810" max="13810" width="16" style="8" customWidth="1"/>
    <col min="13811" max="13811" width="15.85546875" style="8" customWidth="1"/>
    <col min="13812" max="13812" width="19" style="8" customWidth="1"/>
    <col min="13813" max="13814" width="8.7109375" style="8"/>
    <col min="13815" max="13815" width="10.7109375" style="8" bestFit="1" customWidth="1"/>
    <col min="13816" max="14061" width="8.7109375" style="8"/>
    <col min="14062" max="14062" width="2.28515625" style="8" customWidth="1"/>
    <col min="14063" max="14063" width="16.5703125" style="8" customWidth="1"/>
    <col min="14064" max="14064" width="16" style="8" customWidth="1"/>
    <col min="14065" max="14065" width="14" style="8" customWidth="1"/>
    <col min="14066" max="14066" width="16" style="8" customWidth="1"/>
    <col min="14067" max="14067" width="15.85546875" style="8" customWidth="1"/>
    <col min="14068" max="14068" width="19" style="8" customWidth="1"/>
    <col min="14069" max="14070" width="8.7109375" style="8"/>
    <col min="14071" max="14071" width="10.7109375" style="8" bestFit="1" customWidth="1"/>
    <col min="14072" max="14317" width="8.7109375" style="8"/>
    <col min="14318" max="14318" width="2.28515625" style="8" customWidth="1"/>
    <col min="14319" max="14319" width="16.5703125" style="8" customWidth="1"/>
    <col min="14320" max="14320" width="16" style="8" customWidth="1"/>
    <col min="14321" max="14321" width="14" style="8" customWidth="1"/>
    <col min="14322" max="14322" width="16" style="8" customWidth="1"/>
    <col min="14323" max="14323" width="15.85546875" style="8" customWidth="1"/>
    <col min="14324" max="14324" width="19" style="8" customWidth="1"/>
    <col min="14325" max="14326" width="8.7109375" style="8"/>
    <col min="14327" max="14327" width="10.7109375" style="8" bestFit="1" customWidth="1"/>
    <col min="14328" max="14573" width="8.7109375" style="8"/>
    <col min="14574" max="14574" width="2.28515625" style="8" customWidth="1"/>
    <col min="14575" max="14575" width="16.5703125" style="8" customWidth="1"/>
    <col min="14576" max="14576" width="16" style="8" customWidth="1"/>
    <col min="14577" max="14577" width="14" style="8" customWidth="1"/>
    <col min="14578" max="14578" width="16" style="8" customWidth="1"/>
    <col min="14579" max="14579" width="15.85546875" style="8" customWidth="1"/>
    <col min="14580" max="14580" width="19" style="8" customWidth="1"/>
    <col min="14581" max="14582" width="8.7109375" style="8"/>
    <col min="14583" max="14583" width="10.7109375" style="8" bestFit="1" customWidth="1"/>
    <col min="14584" max="14829" width="8.7109375" style="8"/>
    <col min="14830" max="14830" width="2.28515625" style="8" customWidth="1"/>
    <col min="14831" max="14831" width="16.5703125" style="8" customWidth="1"/>
    <col min="14832" max="14832" width="16" style="8" customWidth="1"/>
    <col min="14833" max="14833" width="14" style="8" customWidth="1"/>
    <col min="14834" max="14834" width="16" style="8" customWidth="1"/>
    <col min="14835" max="14835" width="15.85546875" style="8" customWidth="1"/>
    <col min="14836" max="14836" width="19" style="8" customWidth="1"/>
    <col min="14837" max="14838" width="8.7109375" style="8"/>
    <col min="14839" max="14839" width="10.7109375" style="8" bestFit="1" customWidth="1"/>
    <col min="14840" max="15085" width="8.7109375" style="8"/>
    <col min="15086" max="15086" width="2.28515625" style="8" customWidth="1"/>
    <col min="15087" max="15087" width="16.5703125" style="8" customWidth="1"/>
    <col min="15088" max="15088" width="16" style="8" customWidth="1"/>
    <col min="15089" max="15089" width="14" style="8" customWidth="1"/>
    <col min="15090" max="15090" width="16" style="8" customWidth="1"/>
    <col min="15091" max="15091" width="15.85546875" style="8" customWidth="1"/>
    <col min="15092" max="15092" width="19" style="8" customWidth="1"/>
    <col min="15093" max="15094" width="8.7109375" style="8"/>
    <col min="15095" max="15095" width="10.7109375" style="8" bestFit="1" customWidth="1"/>
    <col min="15096" max="15341" width="8.7109375" style="8"/>
    <col min="15342" max="15342" width="2.28515625" style="8" customWidth="1"/>
    <col min="15343" max="15343" width="16.5703125" style="8" customWidth="1"/>
    <col min="15344" max="15344" width="16" style="8" customWidth="1"/>
    <col min="15345" max="15345" width="14" style="8" customWidth="1"/>
    <col min="15346" max="15346" width="16" style="8" customWidth="1"/>
    <col min="15347" max="15347" width="15.85546875" style="8" customWidth="1"/>
    <col min="15348" max="15348" width="19" style="8" customWidth="1"/>
    <col min="15349" max="15350" width="8.7109375" style="8"/>
    <col min="15351" max="15351" width="10.7109375" style="8" bestFit="1" customWidth="1"/>
    <col min="15352" max="15597" width="8.7109375" style="8"/>
    <col min="15598" max="15598" width="2.28515625" style="8" customWidth="1"/>
    <col min="15599" max="15599" width="16.5703125" style="8" customWidth="1"/>
    <col min="15600" max="15600" width="16" style="8" customWidth="1"/>
    <col min="15601" max="15601" width="14" style="8" customWidth="1"/>
    <col min="15602" max="15602" width="16" style="8" customWidth="1"/>
    <col min="15603" max="15603" width="15.85546875" style="8" customWidth="1"/>
    <col min="15604" max="15604" width="19" style="8" customWidth="1"/>
    <col min="15605" max="15606" width="8.7109375" style="8"/>
    <col min="15607" max="15607" width="10.7109375" style="8" bestFit="1" customWidth="1"/>
    <col min="15608" max="15853" width="8.7109375" style="8"/>
    <col min="15854" max="15854" width="2.28515625" style="8" customWidth="1"/>
    <col min="15855" max="15855" width="16.5703125" style="8" customWidth="1"/>
    <col min="15856" max="15856" width="16" style="8" customWidth="1"/>
    <col min="15857" max="15857" width="14" style="8" customWidth="1"/>
    <col min="15858" max="15858" width="16" style="8" customWidth="1"/>
    <col min="15859" max="15859" width="15.85546875" style="8" customWidth="1"/>
    <col min="15860" max="15860" width="19" style="8" customWidth="1"/>
    <col min="15861" max="15862" width="8.7109375" style="8"/>
    <col min="15863" max="15863" width="10.7109375" style="8" bestFit="1" customWidth="1"/>
    <col min="15864" max="16109" width="8.7109375" style="8"/>
    <col min="16110" max="16110" width="2.28515625" style="8" customWidth="1"/>
    <col min="16111" max="16111" width="16.5703125" style="8" customWidth="1"/>
    <col min="16112" max="16112" width="16" style="8" customWidth="1"/>
    <col min="16113" max="16113" width="14" style="8" customWidth="1"/>
    <col min="16114" max="16114" width="16" style="8" customWidth="1"/>
    <col min="16115" max="16115" width="15.85546875" style="8" customWidth="1"/>
    <col min="16116" max="16116" width="19" style="8" customWidth="1"/>
    <col min="16117" max="16118" width="8.7109375" style="8"/>
    <col min="16119" max="16119" width="10.7109375" style="8" bestFit="1" customWidth="1"/>
    <col min="16120" max="16362" width="8.7109375" style="8"/>
    <col min="16363" max="16384" width="8.7109375" style="8" customWidth="1"/>
  </cols>
  <sheetData>
    <row r="1" spans="2:15" ht="13.5" thickBot="1" x14ac:dyDescent="0.25"/>
    <row r="2" spans="2:15" ht="15.75" thickBot="1" x14ac:dyDescent="0.3">
      <c r="B2" s="201" t="s">
        <v>104</v>
      </c>
      <c r="C2" s="202"/>
      <c r="D2" s="202"/>
      <c r="E2" s="202"/>
      <c r="F2" s="202"/>
      <c r="G2" s="202"/>
      <c r="H2" s="203"/>
      <c r="I2" s="107"/>
      <c r="J2" s="107"/>
      <c r="K2" s="107"/>
      <c r="L2" s="107"/>
      <c r="M2" s="107"/>
      <c r="N2" s="107"/>
      <c r="O2" s="107"/>
    </row>
    <row r="3" spans="2:15" ht="15" x14ac:dyDescent="0.25">
      <c r="B3" s="108" t="s">
        <v>0</v>
      </c>
      <c r="C3" s="109" t="s">
        <v>1</v>
      </c>
      <c r="D3" s="110" t="s">
        <v>2</v>
      </c>
      <c r="E3" s="111"/>
      <c r="F3" s="111"/>
      <c r="G3" s="112" t="s">
        <v>3</v>
      </c>
      <c r="H3" s="113" t="s">
        <v>102</v>
      </c>
      <c r="I3" s="107"/>
      <c r="J3" s="107" t="s">
        <v>154</v>
      </c>
      <c r="K3" s="107" t="s">
        <v>156</v>
      </c>
      <c r="L3" s="107" t="s">
        <v>157</v>
      </c>
      <c r="M3" s="107" t="s">
        <v>158</v>
      </c>
      <c r="N3" s="107" t="s">
        <v>159</v>
      </c>
      <c r="O3" s="107" t="s">
        <v>160</v>
      </c>
    </row>
    <row r="4" spans="2:15" ht="15" x14ac:dyDescent="0.25">
      <c r="B4" s="114" t="s">
        <v>5</v>
      </c>
      <c r="C4" s="115"/>
      <c r="D4" s="116" t="s">
        <v>6</v>
      </c>
      <c r="E4" s="117" t="s">
        <v>7</v>
      </c>
      <c r="F4" s="118">
        <v>1</v>
      </c>
      <c r="G4" s="119" t="s">
        <v>8</v>
      </c>
      <c r="H4" s="120">
        <v>15000</v>
      </c>
      <c r="I4" s="107"/>
      <c r="J4" s="107" t="s">
        <v>155</v>
      </c>
      <c r="K4" s="121">
        <f>+H4*F5</f>
        <v>15000</v>
      </c>
      <c r="L4" s="129">
        <f>+K4*Assumptions!B6/G7</f>
        <v>0.94326200773958557</v>
      </c>
      <c r="M4" s="129">
        <f>+CondoModel!K4*Assumptions!B8/CondoModel!G7</f>
        <v>0.94326200773958557</v>
      </c>
      <c r="N4" s="129"/>
      <c r="O4" s="129">
        <f>+SUM(L4:N4)</f>
        <v>1.8865240154791711</v>
      </c>
    </row>
    <row r="5" spans="2:15" ht="15" x14ac:dyDescent="0.25">
      <c r="B5" s="192" t="s">
        <v>175</v>
      </c>
      <c r="C5" s="122"/>
      <c r="D5" s="115" t="s">
        <v>10</v>
      </c>
      <c r="E5" s="117" t="s">
        <v>106</v>
      </c>
      <c r="F5" s="118">
        <v>1</v>
      </c>
      <c r="G5" s="123" t="s">
        <v>11</v>
      </c>
      <c r="H5" s="124">
        <f>+H6/H4</f>
        <v>2</v>
      </c>
      <c r="I5" s="107"/>
      <c r="J5" s="107" t="s">
        <v>154</v>
      </c>
      <c r="K5" s="121">
        <f>IF(H6-K4&lt;0,0,H6-K4)</f>
        <v>15000</v>
      </c>
      <c r="L5" s="129"/>
      <c r="M5" s="129"/>
      <c r="N5" s="129">
        <f>+K5*Assumptions!B10/CondoModel!G7</f>
        <v>2.9023446391987249</v>
      </c>
      <c r="O5" s="129">
        <f>+SUM(L5:N5)</f>
        <v>2.9023446391987249</v>
      </c>
    </row>
    <row r="6" spans="2:15" ht="15" x14ac:dyDescent="0.25">
      <c r="B6" s="192"/>
      <c r="C6" s="125"/>
      <c r="D6" s="115" t="s">
        <v>13</v>
      </c>
      <c r="E6" s="126"/>
      <c r="F6" s="126"/>
      <c r="G6" s="127" t="s">
        <v>14</v>
      </c>
      <c r="H6" s="120">
        <v>30000</v>
      </c>
      <c r="I6" s="107"/>
      <c r="J6" s="128" t="s">
        <v>161</v>
      </c>
      <c r="K6" s="121">
        <f>+SUM(K4:K5)</f>
        <v>30000</v>
      </c>
      <c r="L6" s="129">
        <f t="shared" ref="L6:O6" si="0">+SUM(L4:L5)</f>
        <v>0.94326200773958557</v>
      </c>
      <c r="M6" s="129">
        <f t="shared" si="0"/>
        <v>0.94326200773958557</v>
      </c>
      <c r="N6" s="129">
        <f t="shared" si="0"/>
        <v>2.9023446391987249</v>
      </c>
      <c r="O6" s="129">
        <f t="shared" si="0"/>
        <v>4.7888686546778958</v>
      </c>
    </row>
    <row r="7" spans="2:15" ht="15" x14ac:dyDescent="0.25">
      <c r="B7" s="130"/>
      <c r="C7" s="125"/>
      <c r="D7" s="115" t="s">
        <v>15</v>
      </c>
      <c r="E7" s="126"/>
      <c r="F7" s="126"/>
      <c r="G7" s="131">
        <f>+Assumptions!B12</f>
        <v>1033.6470588235295</v>
      </c>
      <c r="H7" s="132">
        <f>+ROUND(H6/G7,0)</f>
        <v>29</v>
      </c>
      <c r="I7" s="107"/>
      <c r="J7" s="133"/>
      <c r="K7" s="107"/>
      <c r="L7" s="107"/>
      <c r="M7" s="107"/>
      <c r="N7" s="107"/>
      <c r="O7" s="107"/>
    </row>
    <row r="8" spans="2:15" ht="15" x14ac:dyDescent="0.25">
      <c r="B8" s="130"/>
      <c r="C8" s="125"/>
      <c r="D8" s="115" t="s">
        <v>16</v>
      </c>
      <c r="E8" s="126"/>
      <c r="F8" s="126"/>
      <c r="G8" s="134"/>
      <c r="H8" s="135">
        <f>+D28/H7</f>
        <v>0.8</v>
      </c>
      <c r="I8" s="136"/>
      <c r="J8" s="197" t="s">
        <v>171</v>
      </c>
      <c r="K8" s="198" t="str">
        <f>+IF(H19&lt;Assumptions!B36,"Unfeasible","Feasible")</f>
        <v>Unfeasible</v>
      </c>
      <c r="L8" s="107"/>
      <c r="M8" s="107"/>
      <c r="N8" s="107"/>
      <c r="O8" s="107"/>
    </row>
    <row r="9" spans="2:15" ht="15" x14ac:dyDescent="0.25">
      <c r="B9" s="130"/>
      <c r="C9" s="137" t="s">
        <v>17</v>
      </c>
      <c r="D9" s="137" t="s">
        <v>162</v>
      </c>
      <c r="E9" s="177">
        <f>+Assumptions!B5</f>
        <v>1</v>
      </c>
      <c r="F9" s="138"/>
      <c r="G9" s="137"/>
      <c r="H9" s="141">
        <f>+ROUND(L4,0)</f>
        <v>1</v>
      </c>
      <c r="I9" s="107"/>
      <c r="J9" s="196" t="s">
        <v>160</v>
      </c>
      <c r="K9">
        <f>+IF(H19&lt;Assumptions!B36,0,H7)</f>
        <v>0</v>
      </c>
      <c r="L9" s="107"/>
      <c r="M9" s="107"/>
      <c r="N9" s="107"/>
      <c r="O9" s="107"/>
    </row>
    <row r="10" spans="2:15" ht="15" x14ac:dyDescent="0.25">
      <c r="B10" s="130"/>
      <c r="C10" s="140"/>
      <c r="D10" s="137" t="s">
        <v>162</v>
      </c>
      <c r="E10" s="177">
        <f>+Assumptions!B7</f>
        <v>0.8</v>
      </c>
      <c r="F10" s="138"/>
      <c r="G10" s="137"/>
      <c r="H10" s="141">
        <f>+ROUND(M4,0)</f>
        <v>1</v>
      </c>
      <c r="I10" s="107"/>
      <c r="J10" s="196" t="s">
        <v>172</v>
      </c>
      <c r="K10">
        <f>+IF(H19&lt;Assumptions!B36,0,D24)</f>
        <v>0</v>
      </c>
      <c r="L10" s="107"/>
      <c r="M10" s="107"/>
      <c r="N10" s="107"/>
      <c r="O10" s="107"/>
    </row>
    <row r="11" spans="2:15" ht="15" x14ac:dyDescent="0.25">
      <c r="B11" s="130"/>
      <c r="C11" s="140"/>
      <c r="D11" s="137" t="s">
        <v>103</v>
      </c>
      <c r="E11" s="178"/>
      <c r="F11" s="138"/>
      <c r="G11" s="137"/>
      <c r="H11" s="142">
        <f>+Assumptions!B10</f>
        <v>0.2</v>
      </c>
      <c r="I11" s="107"/>
      <c r="J11" s="196" t="s">
        <v>173</v>
      </c>
      <c r="K11">
        <f>+IF(H19&lt;Assumptions!B36,0,H9)</f>
        <v>0</v>
      </c>
      <c r="L11" s="107"/>
      <c r="M11" s="107"/>
      <c r="N11" s="107"/>
      <c r="O11" s="107"/>
    </row>
    <row r="12" spans="2:15" ht="15" x14ac:dyDescent="0.25">
      <c r="B12" s="130"/>
      <c r="C12" s="140"/>
      <c r="D12" s="137" t="s">
        <v>163</v>
      </c>
      <c r="E12" s="177">
        <f>+Assumptions!B9</f>
        <v>0.8</v>
      </c>
      <c r="F12" s="138"/>
      <c r="G12" s="137"/>
      <c r="H12" s="141">
        <f>+ROUND(O5,0)</f>
        <v>3</v>
      </c>
      <c r="I12" s="107"/>
      <c r="J12" s="199" t="s">
        <v>174</v>
      </c>
      <c r="K12">
        <f>+IF(H19&lt;Assumptions!B36,0,H10)</f>
        <v>0</v>
      </c>
      <c r="L12" s="107"/>
      <c r="M12" s="107"/>
      <c r="N12" s="107"/>
      <c r="O12" s="107"/>
    </row>
    <row r="13" spans="2:15" ht="15" x14ac:dyDescent="0.25">
      <c r="B13" s="130"/>
      <c r="C13" s="140"/>
      <c r="D13" s="137" t="s">
        <v>94</v>
      </c>
      <c r="E13" s="138"/>
      <c r="F13" s="138"/>
      <c r="G13" s="137"/>
      <c r="H13" s="141">
        <f>H9+H10+H12</f>
        <v>5</v>
      </c>
      <c r="I13" s="107"/>
      <c r="J13" s="196" t="s">
        <v>154</v>
      </c>
      <c r="K13" s="107">
        <f>+IF(H19&lt;Assumptions!B36,0,H12)</f>
        <v>0</v>
      </c>
      <c r="L13" s="107"/>
      <c r="M13" s="107"/>
      <c r="N13" s="107"/>
      <c r="O13" s="107"/>
    </row>
    <row r="14" spans="2:15" ht="15" x14ac:dyDescent="0.25">
      <c r="B14" s="130"/>
      <c r="C14" s="140"/>
      <c r="D14" s="137" t="s">
        <v>97</v>
      </c>
      <c r="E14" s="138"/>
      <c r="F14" s="138"/>
      <c r="G14" s="137"/>
      <c r="H14" s="139">
        <f>(H13+H16)/H7</f>
        <v>0.17241379310344829</v>
      </c>
      <c r="I14" s="107"/>
      <c r="J14" s="107"/>
      <c r="K14" s="107"/>
      <c r="L14" s="107"/>
      <c r="M14" s="107"/>
      <c r="N14" s="107"/>
      <c r="O14" s="107"/>
    </row>
    <row r="15" spans="2:15" ht="15" x14ac:dyDescent="0.25">
      <c r="B15" s="130"/>
      <c r="C15" s="122"/>
      <c r="D15" s="137" t="s">
        <v>23</v>
      </c>
      <c r="E15" s="138"/>
      <c r="F15" s="138"/>
      <c r="G15" s="137"/>
      <c r="H15" s="146">
        <f>+((H9*E9)+(H10*E10)+(H12*E12))/H13</f>
        <v>0.84000000000000008</v>
      </c>
      <c r="I15" s="107"/>
      <c r="J15" s="107"/>
      <c r="K15" s="107"/>
      <c r="L15" s="107"/>
      <c r="M15" s="107"/>
      <c r="N15" s="107"/>
      <c r="O15" s="107"/>
    </row>
    <row r="16" spans="2:15" ht="15" x14ac:dyDescent="0.25">
      <c r="B16" s="130"/>
      <c r="C16" s="125"/>
      <c r="D16" s="143" t="s">
        <v>105</v>
      </c>
      <c r="E16" s="138"/>
      <c r="F16" s="138"/>
      <c r="G16" s="144"/>
      <c r="H16" s="141">
        <v>0</v>
      </c>
      <c r="I16" s="107"/>
      <c r="J16" s="107"/>
      <c r="K16" s="107"/>
      <c r="L16" s="107"/>
      <c r="M16" s="107"/>
      <c r="N16" s="107"/>
      <c r="O16" s="107"/>
    </row>
    <row r="17" spans="2:15" ht="15" x14ac:dyDescent="0.25">
      <c r="B17" s="130"/>
      <c r="C17" s="125"/>
      <c r="D17" s="137" t="s">
        <v>21</v>
      </c>
      <c r="E17" s="138"/>
      <c r="F17" s="138"/>
      <c r="G17" s="137"/>
      <c r="H17" s="145">
        <f>+Assumptions!B25</f>
        <v>300000</v>
      </c>
      <c r="I17" s="107"/>
      <c r="J17" s="107"/>
      <c r="K17" s="107"/>
      <c r="L17" s="107"/>
      <c r="M17" s="107"/>
      <c r="N17" s="107"/>
      <c r="O17" s="107"/>
    </row>
    <row r="18" spans="2:15" ht="15" x14ac:dyDescent="0.25">
      <c r="B18" s="130"/>
      <c r="C18" s="125"/>
      <c r="D18" s="137" t="s">
        <v>22</v>
      </c>
      <c r="E18" s="138"/>
      <c r="F18" s="138"/>
      <c r="G18" s="137"/>
      <c r="H18" s="145">
        <v>0</v>
      </c>
      <c r="I18" s="107"/>
      <c r="J18" s="107"/>
      <c r="K18" s="107"/>
      <c r="L18" s="107"/>
      <c r="M18" s="107"/>
      <c r="N18" s="107"/>
      <c r="O18" s="107"/>
    </row>
    <row r="19" spans="2:15" ht="15" x14ac:dyDescent="0.25">
      <c r="B19" s="130"/>
      <c r="C19" s="147" t="s">
        <v>24</v>
      </c>
      <c r="D19" s="147" t="s">
        <v>90</v>
      </c>
      <c r="E19" s="148"/>
      <c r="F19" s="149">
        <v>0.3</v>
      </c>
      <c r="G19" s="150" t="s">
        <v>26</v>
      </c>
      <c r="H19" s="151">
        <f>H50</f>
        <v>0.18447022994595744</v>
      </c>
      <c r="I19" s="107"/>
      <c r="J19" s="107"/>
      <c r="K19" s="107"/>
      <c r="L19" s="107"/>
      <c r="M19" s="107"/>
      <c r="N19" s="107"/>
      <c r="O19" s="107"/>
    </row>
    <row r="20" spans="2:15" ht="15" x14ac:dyDescent="0.25">
      <c r="B20" s="130"/>
      <c r="C20" s="125"/>
      <c r="D20" s="147" t="s">
        <v>93</v>
      </c>
      <c r="E20" s="148"/>
      <c r="F20" s="182">
        <f>+Assumptions!B18</f>
        <v>600</v>
      </c>
      <c r="G20" s="147" t="s">
        <v>91</v>
      </c>
      <c r="H20" s="152"/>
      <c r="I20" s="107"/>
      <c r="J20" s="107"/>
      <c r="K20" s="107"/>
      <c r="L20" s="107"/>
      <c r="M20" s="107"/>
      <c r="N20" s="107"/>
      <c r="O20" s="107"/>
    </row>
    <row r="21" spans="2:15" ht="15.75" thickBot="1" x14ac:dyDescent="0.3">
      <c r="B21" s="130"/>
      <c r="C21" s="122"/>
      <c r="D21" s="125"/>
      <c r="E21" s="140"/>
      <c r="F21" s="153"/>
      <c r="G21" s="140"/>
      <c r="H21" s="154"/>
      <c r="I21" s="107"/>
      <c r="J21" s="107"/>
      <c r="K21" s="107"/>
      <c r="L21" s="107"/>
      <c r="M21" s="107"/>
      <c r="N21" s="107"/>
      <c r="O21" s="107"/>
    </row>
    <row r="22" spans="2:15" ht="15" x14ac:dyDescent="0.25">
      <c r="B22" s="186" t="s">
        <v>29</v>
      </c>
      <c r="C22" s="155"/>
      <c r="D22" s="155"/>
      <c r="E22" s="155"/>
      <c r="F22" s="155"/>
      <c r="G22" s="155"/>
      <c r="H22" s="156"/>
      <c r="I22" s="107"/>
      <c r="J22" s="107"/>
      <c r="K22" s="107"/>
      <c r="L22" s="107"/>
      <c r="M22" s="107"/>
      <c r="N22" s="107"/>
      <c r="O22" s="107"/>
    </row>
    <row r="23" spans="2:15" ht="15" x14ac:dyDescent="0.25">
      <c r="B23" s="157" t="s">
        <v>169</v>
      </c>
      <c r="C23" s="158"/>
      <c r="D23" s="159" t="s">
        <v>31</v>
      </c>
      <c r="E23" s="159" t="s">
        <v>32</v>
      </c>
      <c r="F23" s="159" t="s">
        <v>95</v>
      </c>
      <c r="G23" s="159" t="s">
        <v>144</v>
      </c>
      <c r="H23" s="160" t="s">
        <v>92</v>
      </c>
      <c r="I23" s="107"/>
      <c r="J23" s="107"/>
      <c r="K23" s="107"/>
      <c r="L23" s="107"/>
      <c r="M23" s="107"/>
      <c r="N23" s="107"/>
      <c r="O23" s="107"/>
    </row>
    <row r="24" spans="2:15" ht="15" x14ac:dyDescent="0.25">
      <c r="B24" s="179" t="s">
        <v>164</v>
      </c>
      <c r="C24" s="153" t="s">
        <v>37</v>
      </c>
      <c r="D24" s="193">
        <f>+H7-H13</f>
        <v>24</v>
      </c>
      <c r="E24" s="162">
        <f>+Assumptions!B13</f>
        <v>878.6</v>
      </c>
      <c r="F24" s="163">
        <f>+G24*E24</f>
        <v>527160</v>
      </c>
      <c r="G24" s="163">
        <f>+Assumptions!B18</f>
        <v>600</v>
      </c>
      <c r="H24" s="165">
        <f>+F24*D24</f>
        <v>12651840</v>
      </c>
      <c r="I24" s="107"/>
      <c r="J24" s="107"/>
      <c r="K24" s="107"/>
      <c r="L24" s="107"/>
      <c r="M24" s="107"/>
      <c r="N24" s="107"/>
      <c r="O24" s="107"/>
    </row>
    <row r="25" spans="2:15" ht="15" x14ac:dyDescent="0.25">
      <c r="B25" s="26"/>
      <c r="C25" s="166" t="s">
        <v>157</v>
      </c>
      <c r="D25" s="193">
        <f>+H9</f>
        <v>1</v>
      </c>
      <c r="E25" s="162">
        <f>+E24</f>
        <v>878.6</v>
      </c>
      <c r="F25" s="163">
        <v>203600</v>
      </c>
      <c r="G25" s="163">
        <f>+Assumptions!B19</f>
        <v>280.12451627589343</v>
      </c>
      <c r="H25" s="165">
        <f>+F25*D25</f>
        <v>203600</v>
      </c>
      <c r="I25" s="107"/>
      <c r="J25" s="107"/>
      <c r="K25" s="107"/>
      <c r="L25" s="107"/>
      <c r="M25" s="107"/>
      <c r="N25" s="107"/>
      <c r="O25" s="107"/>
    </row>
    <row r="26" spans="2:15" ht="15" x14ac:dyDescent="0.25">
      <c r="B26" s="26"/>
      <c r="C26" s="166" t="s">
        <v>158</v>
      </c>
      <c r="D26" s="193">
        <f>+H10</f>
        <v>1</v>
      </c>
      <c r="E26" s="162">
        <f>+E25</f>
        <v>878.6</v>
      </c>
      <c r="F26" s="163">
        <f>+G26*E26</f>
        <v>189662.4</v>
      </c>
      <c r="G26" s="163">
        <f>+Assumptions!B20</f>
        <v>215.8688823127703</v>
      </c>
      <c r="H26" s="165">
        <f>+F26*D26</f>
        <v>189662.4</v>
      </c>
      <c r="I26" s="107"/>
      <c r="J26" s="107"/>
      <c r="K26" s="107"/>
      <c r="L26" s="107"/>
      <c r="M26" s="107"/>
      <c r="N26" s="107"/>
      <c r="O26" s="107"/>
    </row>
    <row r="27" spans="2:15" ht="15" x14ac:dyDescent="0.25">
      <c r="B27" s="26"/>
      <c r="C27" s="153" t="s">
        <v>154</v>
      </c>
      <c r="D27" s="194">
        <f>+H12</f>
        <v>3</v>
      </c>
      <c r="E27" s="162">
        <f>+E26</f>
        <v>878.6</v>
      </c>
      <c r="F27" s="167">
        <f>E27*G27</f>
        <v>189662.4</v>
      </c>
      <c r="G27" s="163">
        <f>+Assumptions!B21</f>
        <v>215.8688823127703</v>
      </c>
      <c r="H27" s="165">
        <f>+F27*D27</f>
        <v>568987.19999999995</v>
      </c>
      <c r="I27" s="107"/>
      <c r="J27" s="107" t="s">
        <v>130</v>
      </c>
      <c r="K27" s="107"/>
      <c r="L27" s="107"/>
      <c r="M27" s="107"/>
      <c r="N27" s="107"/>
      <c r="O27" s="107"/>
    </row>
    <row r="28" spans="2:15" ht="15" x14ac:dyDescent="0.25">
      <c r="B28" s="179"/>
      <c r="C28" s="153" t="s">
        <v>170</v>
      </c>
      <c r="D28" s="194">
        <f>+H7*0.8</f>
        <v>23.200000000000003</v>
      </c>
      <c r="E28" s="163"/>
      <c r="F28" s="163">
        <f>+Assumptions!B22</f>
        <v>25000</v>
      </c>
      <c r="G28" s="163"/>
      <c r="H28" s="165">
        <f>+F28*D28</f>
        <v>580000.00000000012</v>
      </c>
      <c r="I28" s="107"/>
      <c r="J28" s="107"/>
      <c r="K28" s="107"/>
      <c r="L28" s="107"/>
      <c r="M28" s="107"/>
      <c r="N28" s="107"/>
      <c r="O28" s="107"/>
    </row>
    <row r="29" spans="2:15" ht="15" x14ac:dyDescent="0.25">
      <c r="B29" s="183" t="s">
        <v>165</v>
      </c>
      <c r="C29" s="153"/>
      <c r="D29" s="161"/>
      <c r="E29" s="162"/>
      <c r="F29" s="164"/>
      <c r="G29" s="163"/>
      <c r="H29" s="154">
        <f>SUM(H24:H28)</f>
        <v>14194089.6</v>
      </c>
      <c r="I29" s="107"/>
      <c r="J29" s="107"/>
      <c r="K29" s="107"/>
      <c r="L29" s="107"/>
      <c r="M29" s="107"/>
      <c r="N29" s="107"/>
      <c r="O29" s="107"/>
    </row>
    <row r="30" spans="2:15" ht="15" x14ac:dyDescent="0.25">
      <c r="B30" s="179"/>
      <c r="C30" s="153"/>
      <c r="D30" s="162"/>
      <c r="E30" s="163"/>
      <c r="F30" s="163"/>
      <c r="G30" s="163"/>
      <c r="H30" s="165"/>
      <c r="I30" s="107"/>
      <c r="J30" s="107"/>
      <c r="K30" s="107"/>
      <c r="L30" s="107"/>
      <c r="M30" s="107"/>
      <c r="N30" s="107"/>
      <c r="O30" s="107"/>
    </row>
    <row r="31" spans="2:15" ht="15" x14ac:dyDescent="0.25">
      <c r="B31" s="170" t="s">
        <v>100</v>
      </c>
      <c r="C31" s="153" t="s">
        <v>98</v>
      </c>
      <c r="D31" s="162"/>
      <c r="E31" s="163"/>
      <c r="F31" s="163"/>
      <c r="G31" s="171">
        <f>+Assumptions!B32</f>
        <v>5.5E-2</v>
      </c>
      <c r="H31" s="184">
        <f>-G31*H29</f>
        <v>-780674.92799999996</v>
      </c>
      <c r="I31" s="107"/>
      <c r="J31" s="107"/>
      <c r="K31" s="107"/>
      <c r="L31" s="107"/>
      <c r="M31" s="107"/>
      <c r="N31" s="107"/>
      <c r="O31" s="107"/>
    </row>
    <row r="32" spans="2:15" ht="12.75" customHeight="1" x14ac:dyDescent="0.25">
      <c r="B32" s="179"/>
      <c r="C32" s="153" t="s">
        <v>99</v>
      </c>
      <c r="D32" s="162"/>
      <c r="E32" s="163"/>
      <c r="F32" s="163"/>
      <c r="G32" s="171">
        <f>+Assumptions!B33</f>
        <v>0</v>
      </c>
      <c r="H32" s="184">
        <f>-G32*H29</f>
        <v>0</v>
      </c>
      <c r="I32" s="107"/>
      <c r="J32" s="107"/>
      <c r="K32" s="107"/>
      <c r="L32" s="107"/>
      <c r="M32" s="107"/>
      <c r="N32" s="107"/>
      <c r="O32" s="107"/>
    </row>
    <row r="33" spans="2:15" ht="15" x14ac:dyDescent="0.25">
      <c r="B33" s="183" t="s">
        <v>166</v>
      </c>
      <c r="C33" s="140"/>
      <c r="D33" s="188"/>
      <c r="E33" s="189"/>
      <c r="F33" s="189"/>
      <c r="G33" s="190"/>
      <c r="H33" s="154">
        <f>SUM(H31:H32)</f>
        <v>-780674.92799999996</v>
      </c>
      <c r="I33" s="107"/>
      <c r="J33" s="107"/>
      <c r="K33" s="107"/>
      <c r="L33" s="107"/>
      <c r="M33" s="107"/>
      <c r="N33" s="107"/>
      <c r="O33" s="107"/>
    </row>
    <row r="34" spans="2:15" ht="15" x14ac:dyDescent="0.25">
      <c r="B34" s="179"/>
      <c r="C34" s="153"/>
      <c r="D34" s="162"/>
      <c r="E34" s="163"/>
      <c r="F34" s="163"/>
      <c r="G34" s="163"/>
      <c r="H34" s="165"/>
      <c r="I34" s="107"/>
      <c r="J34" s="107"/>
      <c r="K34" s="107"/>
      <c r="L34" s="107"/>
      <c r="M34" s="107"/>
      <c r="N34" s="107"/>
      <c r="O34" s="107"/>
    </row>
    <row r="35" spans="2:15" ht="15" x14ac:dyDescent="0.25">
      <c r="B35" s="185" t="s">
        <v>96</v>
      </c>
      <c r="C35" s="140"/>
      <c r="D35" s="188"/>
      <c r="E35" s="189"/>
      <c r="F35" s="189"/>
      <c r="G35" s="189"/>
      <c r="H35" s="191">
        <f>H29+H33</f>
        <v>13413414.672</v>
      </c>
      <c r="I35" s="107"/>
      <c r="J35" s="107"/>
      <c r="K35" s="107"/>
      <c r="L35" s="107"/>
      <c r="M35" s="107"/>
      <c r="N35" s="107"/>
      <c r="O35" s="107"/>
    </row>
    <row r="36" spans="2:15" ht="15" x14ac:dyDescent="0.25">
      <c r="B36" s="179"/>
      <c r="C36" s="153"/>
      <c r="D36" s="153"/>
      <c r="E36" s="153"/>
      <c r="F36" s="153"/>
      <c r="G36" s="172" t="s">
        <v>76</v>
      </c>
      <c r="H36" s="165">
        <f>+H35/H6</f>
        <v>447.1138224</v>
      </c>
      <c r="I36" s="107"/>
      <c r="J36" s="107"/>
      <c r="K36" s="107"/>
      <c r="L36" s="107"/>
      <c r="M36" s="107"/>
      <c r="N36" s="107"/>
      <c r="O36" s="107"/>
    </row>
    <row r="37" spans="2:15" ht="15" x14ac:dyDescent="0.25">
      <c r="B37" s="179"/>
      <c r="C37" s="153"/>
      <c r="D37" s="153"/>
      <c r="E37" s="153"/>
      <c r="F37" s="153"/>
      <c r="G37" s="172" t="s">
        <v>55</v>
      </c>
      <c r="H37" s="165">
        <f>+H35/H7</f>
        <v>462531.54041379312</v>
      </c>
      <c r="I37" s="107"/>
      <c r="J37" s="107"/>
      <c r="K37" s="107"/>
      <c r="L37" s="107"/>
      <c r="M37" s="107"/>
      <c r="N37" s="107"/>
      <c r="O37" s="107"/>
    </row>
    <row r="38" spans="2:15" ht="15" x14ac:dyDescent="0.25">
      <c r="B38" s="180"/>
      <c r="C38" s="168"/>
      <c r="D38" s="168"/>
      <c r="E38" s="168"/>
      <c r="F38" s="168"/>
      <c r="G38" s="173"/>
      <c r="H38" s="169"/>
      <c r="I38" s="107"/>
      <c r="J38" s="107"/>
      <c r="K38" s="107"/>
      <c r="L38" s="107"/>
      <c r="M38" s="107"/>
      <c r="N38" s="107"/>
      <c r="O38" s="107"/>
    </row>
    <row r="39" spans="2:15" ht="15" x14ac:dyDescent="0.25">
      <c r="B39" s="185" t="s">
        <v>77</v>
      </c>
      <c r="C39" s="153"/>
      <c r="D39" s="153"/>
      <c r="E39" s="153"/>
      <c r="F39" s="153"/>
      <c r="G39" s="153"/>
      <c r="H39" s="165"/>
      <c r="I39" s="107"/>
      <c r="J39" s="107"/>
      <c r="K39" s="107"/>
      <c r="L39" s="107"/>
      <c r="M39" s="107"/>
      <c r="N39" s="107"/>
      <c r="O39" s="107"/>
    </row>
    <row r="40" spans="2:15" ht="15" x14ac:dyDescent="0.25">
      <c r="B40" s="179" t="s">
        <v>78</v>
      </c>
      <c r="C40" s="153"/>
      <c r="D40" s="163">
        <f>+H40/H7</f>
        <v>46551.724137931036</v>
      </c>
      <c r="E40" s="153" t="s">
        <v>55</v>
      </c>
      <c r="F40" s="164">
        <f>+Assumptions!B26</f>
        <v>90</v>
      </c>
      <c r="G40" s="153" t="s">
        <v>91</v>
      </c>
      <c r="H40" s="165">
        <f>+F40*H4</f>
        <v>1350000</v>
      </c>
      <c r="I40" s="107"/>
      <c r="J40" s="107"/>
      <c r="K40" s="107"/>
      <c r="L40" s="107"/>
      <c r="M40" s="107"/>
      <c r="N40" s="107"/>
      <c r="O40" s="107"/>
    </row>
    <row r="41" spans="2:15" ht="12.75" customHeight="1" x14ac:dyDescent="0.25">
      <c r="B41" s="179" t="s">
        <v>80</v>
      </c>
      <c r="C41" s="153"/>
      <c r="D41" s="163">
        <f>IF(+H17=0,H18,H17)</f>
        <v>300000</v>
      </c>
      <c r="E41" s="153" t="s">
        <v>55</v>
      </c>
      <c r="F41" s="200">
        <f>IF(O6-H13&lt;=0,0,O6-H13)</f>
        <v>0</v>
      </c>
      <c r="G41" s="153" t="s">
        <v>31</v>
      </c>
      <c r="H41" s="165">
        <f>+F41*D41</f>
        <v>0</v>
      </c>
      <c r="I41" s="107"/>
      <c r="J41" s="107"/>
      <c r="K41" s="107"/>
      <c r="L41" s="107"/>
      <c r="M41" s="107"/>
      <c r="N41" s="107"/>
      <c r="O41" s="107"/>
    </row>
    <row r="42" spans="2:15" ht="15" x14ac:dyDescent="0.25">
      <c r="B42" s="179" t="s">
        <v>53</v>
      </c>
      <c r="C42" s="153"/>
      <c r="D42" s="153"/>
      <c r="E42" s="153"/>
      <c r="F42" s="163">
        <f>+Assumptions!B27</f>
        <v>250</v>
      </c>
      <c r="G42" s="153" t="s">
        <v>81</v>
      </c>
      <c r="H42" s="165">
        <f>+F42*H6</f>
        <v>7500000</v>
      </c>
      <c r="I42" s="107"/>
      <c r="J42" s="107"/>
      <c r="K42" s="107"/>
      <c r="L42" s="107"/>
      <c r="M42" s="107"/>
      <c r="N42" s="107"/>
      <c r="O42" s="107"/>
    </row>
    <row r="43" spans="2:15" ht="15" x14ac:dyDescent="0.25">
      <c r="B43" s="179" t="s">
        <v>82</v>
      </c>
      <c r="C43" s="153" t="s">
        <v>83</v>
      </c>
      <c r="D43" s="162">
        <f>+D28</f>
        <v>23.200000000000003</v>
      </c>
      <c r="E43" s="122" t="s">
        <v>84</v>
      </c>
      <c r="F43" s="163">
        <f>+Assumptions!B28</f>
        <v>35000</v>
      </c>
      <c r="G43" s="153" t="s">
        <v>85</v>
      </c>
      <c r="H43" s="165">
        <f>+F43*D28</f>
        <v>812000.00000000012</v>
      </c>
      <c r="I43" s="107"/>
      <c r="J43" s="107"/>
      <c r="K43" s="107"/>
      <c r="L43" s="107"/>
      <c r="M43" s="107"/>
      <c r="N43" s="107"/>
      <c r="O43" s="107"/>
    </row>
    <row r="44" spans="2:15" ht="15" x14ac:dyDescent="0.25">
      <c r="B44" s="180" t="s">
        <v>86</v>
      </c>
      <c r="C44" s="168"/>
      <c r="D44" s="168"/>
      <c r="E44" s="168"/>
      <c r="F44" s="174">
        <v>0.2</v>
      </c>
      <c r="G44" s="168" t="s">
        <v>87</v>
      </c>
      <c r="H44" s="169">
        <f>0.2*(SUM(H42:H43))</f>
        <v>1662400</v>
      </c>
      <c r="I44" s="107"/>
      <c r="J44" s="107"/>
      <c r="K44" s="107"/>
      <c r="L44" s="107"/>
      <c r="M44" s="107"/>
      <c r="N44" s="107"/>
      <c r="O44" s="107"/>
    </row>
    <row r="45" spans="2:15" ht="15" x14ac:dyDescent="0.25">
      <c r="B45" s="179"/>
      <c r="C45" s="153"/>
      <c r="D45" s="153"/>
      <c r="E45" s="153"/>
      <c r="F45" s="153"/>
      <c r="G45" s="172" t="s">
        <v>167</v>
      </c>
      <c r="H45" s="165">
        <f>SUM(H40:H44)</f>
        <v>11324400</v>
      </c>
      <c r="I45" s="107"/>
      <c r="J45" s="107"/>
      <c r="K45" s="107"/>
      <c r="L45" s="107"/>
      <c r="M45" s="107"/>
      <c r="N45" s="107"/>
      <c r="O45" s="107"/>
    </row>
    <row r="46" spans="2:15" ht="15" x14ac:dyDescent="0.25">
      <c r="B46" s="179"/>
      <c r="C46" s="153"/>
      <c r="D46" s="153"/>
      <c r="E46" s="153"/>
      <c r="F46" s="153"/>
      <c r="G46" s="172" t="s">
        <v>76</v>
      </c>
      <c r="H46" s="165">
        <f>+H45/H6</f>
        <v>377.48</v>
      </c>
      <c r="I46" s="107"/>
      <c r="J46" s="107"/>
      <c r="K46" s="107"/>
      <c r="L46" s="107"/>
      <c r="M46" s="107"/>
      <c r="N46" s="107"/>
      <c r="O46" s="107"/>
    </row>
    <row r="47" spans="2:15" ht="15" x14ac:dyDescent="0.25">
      <c r="B47" s="179"/>
      <c r="C47" s="153"/>
      <c r="D47" s="153"/>
      <c r="E47" s="153"/>
      <c r="F47" s="153"/>
      <c r="G47" s="172" t="s">
        <v>55</v>
      </c>
      <c r="H47" s="165">
        <f>+H45/H7</f>
        <v>390496.55172413791</v>
      </c>
      <c r="I47" s="107"/>
      <c r="J47" s="107"/>
      <c r="K47" s="107"/>
      <c r="L47" s="107"/>
      <c r="M47" s="107"/>
      <c r="N47" s="107"/>
      <c r="O47" s="107"/>
    </row>
    <row r="48" spans="2:15" ht="15" x14ac:dyDescent="0.25">
      <c r="B48" s="179"/>
      <c r="C48" s="153"/>
      <c r="D48" s="153"/>
      <c r="E48" s="153"/>
      <c r="F48" s="153"/>
      <c r="G48" s="153"/>
      <c r="H48" s="165"/>
      <c r="I48" s="107"/>
      <c r="J48" s="107"/>
      <c r="K48" s="107"/>
      <c r="L48" s="107"/>
      <c r="M48" s="107"/>
      <c r="N48" s="107"/>
      <c r="O48" s="107"/>
    </row>
    <row r="49" spans="2:15" ht="15" x14ac:dyDescent="0.25">
      <c r="B49" s="130" t="s">
        <v>88</v>
      </c>
      <c r="C49" s="153"/>
      <c r="D49" s="153"/>
      <c r="E49" s="172" t="s">
        <v>89</v>
      </c>
      <c r="F49" s="171">
        <f>(H35/H45)-1</f>
        <v>0.18447022994595752</v>
      </c>
      <c r="G49" s="172" t="s">
        <v>90</v>
      </c>
      <c r="H49" s="165">
        <f>+H35-H45</f>
        <v>2089014.6720000003</v>
      </c>
      <c r="I49" s="107"/>
      <c r="J49" s="107"/>
      <c r="K49" s="107"/>
      <c r="L49" s="107"/>
      <c r="M49" s="107"/>
      <c r="N49" s="107"/>
      <c r="O49" s="107"/>
    </row>
    <row r="50" spans="2:15" ht="30.75" thickBot="1" x14ac:dyDescent="0.3">
      <c r="B50" s="181"/>
      <c r="C50" s="175"/>
      <c r="D50" s="176"/>
      <c r="E50" s="176"/>
      <c r="F50" s="176"/>
      <c r="G50" s="195" t="s">
        <v>101</v>
      </c>
      <c r="H50" s="187">
        <f>H49/H45</f>
        <v>0.18447022994595744</v>
      </c>
      <c r="I50" s="107"/>
      <c r="J50" s="107"/>
      <c r="K50" s="107"/>
      <c r="L50" s="107"/>
      <c r="M50" s="107"/>
      <c r="N50" s="107"/>
      <c r="O50" s="107"/>
    </row>
    <row r="51" spans="2:15" x14ac:dyDescent="0.2">
      <c r="B51" s="17"/>
      <c r="C51" s="17"/>
      <c r="D51" s="17"/>
      <c r="E51" s="17"/>
      <c r="F51" s="17"/>
      <c r="G51" s="17"/>
      <c r="H51" s="17"/>
    </row>
  </sheetData>
  <sheetProtection algorithmName="SHA-512" hashValue="ZbsRaEcslXYT8YxNNaFJq2rr+rd6zucsqj8DxYN6L/Zo+m8guYHjgQG/eR/oQ8bFk7bNlZbEXJi+fPHb7g2okA==" saltValue="mHtezjvk7JrjPrDejY+nVA==" spinCount="100000" sheet="1" objects="1" scenarios="1"/>
  <mergeCells count="1">
    <mergeCell ref="B2:H2"/>
  </mergeCells>
  <pageMargins left="0.25" right="0.25" top="0.75" bottom="0.75" header="0.3" footer="0.3"/>
  <pageSetup scale="61" orientation="portrait" r:id="rId1"/>
  <headerFooter>
    <oddFooter>&amp;L&amp;A&amp;C&amp;F&amp;R&amp;P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Low Rise Test Proforma</vt:lpstr>
      <vt:lpstr>Assumptions</vt:lpstr>
      <vt:lpstr>CondoModel</vt:lpstr>
      <vt:lpstr>Assumptions!Print_Area</vt:lpstr>
      <vt:lpstr>'Low Rise Test Proforma'!Print_Area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kevin.mccoll</dc:creator>
  <cp:lastModifiedBy>timd</cp:lastModifiedBy>
  <cp:lastPrinted>2016-08-17T13:36:04Z</cp:lastPrinted>
  <dcterms:created xsi:type="dcterms:W3CDTF">2016-05-28T19:35:46Z</dcterms:created>
  <dcterms:modified xsi:type="dcterms:W3CDTF">2016-09-20T12:35:01Z</dcterms:modified>
</cp:coreProperties>
</file>